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2F32B54A-593F-4B86-B3FE-E38A603C3082}" xr6:coauthVersionLast="46" xr6:coauthVersionMax="47" xr10:uidLastSave="{00000000-0000-0000-0000-000000000000}"/>
  <workbookProtection workbookAlgorithmName="SHA-512" workbookHashValue="qp0su+TqxyxH8EsQh0IGJa4iuDF2yUnRZAzUc4LKRb1RuFxfsxnsoqNFKfWHWColzMxO6AKabIO/y8bWv8wsDw==" workbookSaltValue="2gj2/PNBzWk9Qq1NpiAYjQ==" workbookSpinCount="100000" lockStructure="1" lockWindows="1"/>
  <bookViews>
    <workbookView xWindow="-120" yWindow="-120" windowWidth="29040" windowHeight="17640" xr2:uid="{00000000-000D-0000-FFFF-FFFF00000000}"/>
  </bookViews>
  <sheets>
    <sheet name="Tariff_Calculator" sheetId="1" r:id="rId1"/>
    <sheet name="Fees" sheetId="4" r:id="rId2"/>
    <sheet name="Munka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E16" i="2"/>
  <c r="G16" i="2"/>
  <c r="E17" i="2"/>
  <c r="G17" i="2"/>
  <c r="G18" i="2"/>
  <c r="G19" i="2"/>
  <c r="G11" i="2"/>
  <c r="G12" i="2"/>
  <c r="E3" i="2"/>
  <c r="G5" i="2" l="1"/>
  <c r="G7" i="2"/>
  <c r="G3" i="2"/>
  <c r="D59" i="2" l="1"/>
  <c r="E59" i="2"/>
  <c r="F59" i="2"/>
  <c r="G59" i="2"/>
  <c r="H59" i="2"/>
  <c r="I59" i="2"/>
  <c r="J59" i="2"/>
  <c r="K59" i="2"/>
  <c r="L59" i="2"/>
  <c r="M59" i="2"/>
  <c r="N59" i="2"/>
  <c r="C59" i="2"/>
  <c r="A9" i="1" l="1"/>
  <c r="R19" i="2" l="1"/>
  <c r="C33" i="1" s="1"/>
  <c r="R20" i="2"/>
  <c r="C34" i="1" s="1"/>
  <c r="R21" i="2"/>
  <c r="C35" i="1" s="1"/>
  <c r="R22" i="2"/>
  <c r="C36" i="1" s="1"/>
  <c r="R23" i="2"/>
  <c r="C37" i="1" s="1"/>
  <c r="R24" i="2"/>
  <c r="C38" i="1" s="1"/>
  <c r="R25" i="2"/>
  <c r="C39" i="1" s="1"/>
  <c r="R26" i="2"/>
  <c r="C40" i="1" s="1"/>
  <c r="R27" i="2"/>
  <c r="C41" i="1" s="1"/>
  <c r="R28" i="2"/>
  <c r="C42" i="1" s="1"/>
  <c r="R29" i="2"/>
  <c r="C43" i="1" s="1"/>
  <c r="R18" i="2"/>
  <c r="C32" i="1" s="1"/>
  <c r="U5" i="2"/>
  <c r="H18" i="1" s="1"/>
  <c r="U13" i="2"/>
  <c r="H26" i="1" s="1"/>
  <c r="D61" i="2"/>
  <c r="E61" i="2"/>
  <c r="F61" i="2"/>
  <c r="G61" i="2"/>
  <c r="H61" i="2"/>
  <c r="I61" i="2"/>
  <c r="J61" i="2"/>
  <c r="K61" i="2"/>
  <c r="L61" i="2"/>
  <c r="M61" i="2"/>
  <c r="N61" i="2"/>
  <c r="D60" i="2"/>
  <c r="E60" i="2"/>
  <c r="F60" i="2"/>
  <c r="G60" i="2"/>
  <c r="H60" i="2"/>
  <c r="I60" i="2"/>
  <c r="J60" i="2"/>
  <c r="K60" i="2"/>
  <c r="L60" i="2"/>
  <c r="M60" i="2"/>
  <c r="N60" i="2"/>
  <c r="C60" i="2"/>
  <c r="C61" i="2"/>
  <c r="D49" i="2"/>
  <c r="E49" i="2"/>
  <c r="F49" i="2"/>
  <c r="G49" i="2"/>
  <c r="H49" i="2"/>
  <c r="I49" i="2"/>
  <c r="J49" i="2"/>
  <c r="K49" i="2"/>
  <c r="L49" i="2"/>
  <c r="M49" i="2"/>
  <c r="N49" i="2"/>
  <c r="C49" i="2"/>
  <c r="D48" i="2"/>
  <c r="E48" i="2"/>
  <c r="F48" i="2"/>
  <c r="G48" i="2"/>
  <c r="H48" i="2"/>
  <c r="I48" i="2"/>
  <c r="J48" i="2"/>
  <c r="K48" i="2"/>
  <c r="L48" i="2"/>
  <c r="M48" i="2"/>
  <c r="N48" i="2"/>
  <c r="C48" i="2"/>
  <c r="E47" i="2"/>
  <c r="F47" i="2"/>
  <c r="U6" i="2" s="1"/>
  <c r="H19" i="1" s="1"/>
  <c r="G47" i="2"/>
  <c r="U7" i="2" s="1"/>
  <c r="H20" i="1" s="1"/>
  <c r="H47" i="2"/>
  <c r="U8" i="2" s="1"/>
  <c r="H21" i="1" s="1"/>
  <c r="I47" i="2"/>
  <c r="U9" i="2" s="1"/>
  <c r="H22" i="1" s="1"/>
  <c r="J47" i="2"/>
  <c r="U10" i="2" s="1"/>
  <c r="H23" i="1" s="1"/>
  <c r="K47" i="2"/>
  <c r="U11" i="2" s="1"/>
  <c r="H24" i="1" s="1"/>
  <c r="L47" i="2"/>
  <c r="U12" i="2" s="1"/>
  <c r="H25" i="1" s="1"/>
  <c r="M47" i="2"/>
  <c r="N47" i="2"/>
  <c r="U14" i="2" s="1"/>
  <c r="H27" i="1" s="1"/>
  <c r="D47" i="2"/>
  <c r="U4" i="2" s="1"/>
  <c r="H17" i="1" s="1"/>
  <c r="C47" i="2"/>
  <c r="U3" i="2" s="1"/>
  <c r="H16" i="1" s="1"/>
  <c r="R11" i="2"/>
  <c r="C24" i="1" s="1"/>
  <c r="D40" i="2"/>
  <c r="E40" i="2"/>
  <c r="F40" i="2"/>
  <c r="G40" i="2"/>
  <c r="H40" i="2"/>
  <c r="I40" i="2"/>
  <c r="J40" i="2"/>
  <c r="K40" i="2"/>
  <c r="L40" i="2"/>
  <c r="M40" i="2"/>
  <c r="N40" i="2"/>
  <c r="C40" i="2"/>
  <c r="E39" i="2"/>
  <c r="F39" i="2"/>
  <c r="G39" i="2"/>
  <c r="H39" i="2"/>
  <c r="I39" i="2"/>
  <c r="J39" i="2"/>
  <c r="K39" i="2"/>
  <c r="L39" i="2"/>
  <c r="M39" i="2"/>
  <c r="N39" i="2"/>
  <c r="D39" i="2"/>
  <c r="C39" i="2"/>
  <c r="E38" i="2"/>
  <c r="R5" i="2" s="1"/>
  <c r="C18" i="1" s="1"/>
  <c r="F38" i="2"/>
  <c r="R6" i="2" s="1"/>
  <c r="C19" i="1" s="1"/>
  <c r="G38" i="2"/>
  <c r="R7" i="2" s="1"/>
  <c r="C20" i="1" s="1"/>
  <c r="H38" i="2"/>
  <c r="R8" i="2" s="1"/>
  <c r="C21" i="1" s="1"/>
  <c r="I38" i="2"/>
  <c r="R9" i="2" s="1"/>
  <c r="C22" i="1" s="1"/>
  <c r="J38" i="2"/>
  <c r="R10" i="2" s="1"/>
  <c r="C23" i="1" s="1"/>
  <c r="K38" i="2"/>
  <c r="L38" i="2"/>
  <c r="R12" i="2" s="1"/>
  <c r="C25" i="1" s="1"/>
  <c r="M38" i="2"/>
  <c r="R13" i="2" s="1"/>
  <c r="C26" i="1" s="1"/>
  <c r="N38" i="2"/>
  <c r="R14" i="2" s="1"/>
  <c r="C27" i="1" s="1"/>
  <c r="D38" i="2"/>
  <c r="R4" i="2" s="1"/>
  <c r="C17" i="1" s="1"/>
  <c r="C38" i="2"/>
  <c r="R3" i="2" s="1"/>
  <c r="C16" i="1" s="1"/>
  <c r="M4" i="2" l="1"/>
  <c r="H10" i="1" s="1"/>
  <c r="M5" i="2"/>
  <c r="H11" i="1" s="1"/>
  <c r="M6" i="2"/>
  <c r="H12" i="1" s="1"/>
  <c r="D31" i="2"/>
  <c r="E31" i="2"/>
  <c r="F31" i="2"/>
  <c r="C31" i="2"/>
  <c r="D30" i="2"/>
  <c r="E30" i="2"/>
  <c r="F30" i="2"/>
  <c r="C30" i="2"/>
  <c r="D29" i="2"/>
  <c r="E29" i="2"/>
  <c r="F29" i="2"/>
  <c r="M3" i="2" s="1"/>
  <c r="H9" i="1" s="1"/>
  <c r="C29" i="2"/>
  <c r="B9" i="1"/>
  <c r="G4" i="2"/>
  <c r="G6" i="2"/>
  <c r="G8" i="2"/>
  <c r="G9" i="2"/>
  <c r="G10" i="2"/>
  <c r="Q3" i="2" l="1"/>
  <c r="Q19" i="2" l="1"/>
  <c r="Q20" i="2"/>
  <c r="Q21" i="2"/>
  <c r="Q22" i="2"/>
  <c r="Q23" i="2"/>
  <c r="Q24" i="2"/>
  <c r="Q25" i="2"/>
  <c r="Q26" i="2"/>
  <c r="Q27" i="2"/>
  <c r="Q28" i="2"/>
  <c r="Q29" i="2"/>
  <c r="Q18" i="2"/>
  <c r="T3" i="2"/>
  <c r="B43" i="1" l="1"/>
  <c r="B39" i="1"/>
  <c r="B35" i="1"/>
  <c r="B42" i="1"/>
  <c r="B38" i="1"/>
  <c r="B34" i="1"/>
  <c r="B36" i="1"/>
  <c r="B41" i="1"/>
  <c r="B37" i="1"/>
  <c r="B33" i="1"/>
  <c r="B40" i="1"/>
  <c r="B32" i="1"/>
  <c r="T4" i="2"/>
  <c r="G17" i="1" s="1"/>
  <c r="T5" i="2"/>
  <c r="G18" i="1" s="1"/>
  <c r="T6" i="2"/>
  <c r="G19" i="1" s="1"/>
  <c r="T7" i="2"/>
  <c r="G20" i="1" s="1"/>
  <c r="T8" i="2"/>
  <c r="G21" i="1" s="1"/>
  <c r="T9" i="2"/>
  <c r="G22" i="1" s="1"/>
  <c r="T10" i="2"/>
  <c r="G23" i="1" s="1"/>
  <c r="T11" i="2"/>
  <c r="G24" i="1" s="1"/>
  <c r="T12" i="2"/>
  <c r="G25" i="1" s="1"/>
  <c r="T13" i="2"/>
  <c r="G26" i="1" s="1"/>
  <c r="T14" i="2"/>
  <c r="G27" i="1" s="1"/>
  <c r="G16" i="1"/>
  <c r="Q4" i="2"/>
  <c r="B17" i="1" s="1"/>
  <c r="Q5" i="2"/>
  <c r="B18" i="1" s="1"/>
  <c r="Q6" i="2"/>
  <c r="B19" i="1" s="1"/>
  <c r="Q7" i="2"/>
  <c r="B20" i="1" s="1"/>
  <c r="Q8" i="2"/>
  <c r="B21" i="1" s="1"/>
  <c r="Q9" i="2"/>
  <c r="B22" i="1" s="1"/>
  <c r="Q10" i="2"/>
  <c r="B23" i="1" s="1"/>
  <c r="Q11" i="2"/>
  <c r="B24" i="1" s="1"/>
  <c r="Q12" i="2"/>
  <c r="B25" i="1" s="1"/>
  <c r="Q13" i="2"/>
  <c r="B26" i="1" s="1"/>
  <c r="Q14" i="2"/>
  <c r="B27" i="1" s="1"/>
  <c r="B16" i="1"/>
  <c r="C9" i="1"/>
  <c r="D9" i="1"/>
  <c r="L6" i="2"/>
  <c r="G12" i="1" s="1"/>
  <c r="L5" i="2"/>
  <c r="G11" i="1" s="1"/>
  <c r="L4" i="2"/>
  <c r="G10" i="1" s="1"/>
  <c r="L3" i="2"/>
  <c r="G9" i="1" s="1"/>
  <c r="D33" i="1" l="1"/>
  <c r="D37" i="1"/>
  <c r="D41" i="1"/>
  <c r="D34" i="1"/>
  <c r="D38" i="1"/>
  <c r="D42" i="1"/>
  <c r="D35" i="1"/>
  <c r="D39" i="1"/>
  <c r="D43" i="1"/>
  <c r="D36" i="1"/>
  <c r="D40" i="1"/>
  <c r="D32" i="1"/>
  <c r="I24" i="1"/>
  <c r="I16" i="1"/>
  <c r="I19" i="1"/>
  <c r="I17" i="1"/>
  <c r="D21" i="1"/>
  <c r="D26" i="1"/>
  <c r="I12" i="1"/>
  <c r="D23" i="1"/>
  <c r="I10" i="1"/>
  <c r="D16" i="1"/>
  <c r="D20" i="1"/>
  <c r="I18" i="1"/>
  <c r="I11" i="1"/>
  <c r="I9" i="1"/>
  <c r="D24" i="1"/>
  <c r="I27" i="1"/>
  <c r="I23" i="1"/>
  <c r="D19" i="1"/>
  <c r="I26" i="1"/>
  <c r="D22" i="1"/>
  <c r="I22" i="1"/>
  <c r="D27" i="1"/>
  <c r="D18" i="1"/>
  <c r="I20" i="1"/>
  <c r="D25" i="1"/>
  <c r="I25" i="1"/>
  <c r="D17" i="1"/>
  <c r="I21" i="1"/>
</calcChain>
</file>

<file path=xl/sharedStrings.xml><?xml version="1.0" encoding="utf-8"?>
<sst xmlns="http://schemas.openxmlformats.org/spreadsheetml/2006/main" count="350" uniqueCount="127">
  <si>
    <t>kWh/h</t>
  </si>
  <si>
    <t>Éves/Yearly</t>
  </si>
  <si>
    <t>Nem megszakítható/Firm</t>
  </si>
  <si>
    <t>Megszakítható/Interruptible</t>
  </si>
  <si>
    <t>Szezonális/Seasonal</t>
  </si>
  <si>
    <t>Backhaul</t>
  </si>
  <si>
    <t>Q1</t>
  </si>
  <si>
    <t>Q2</t>
  </si>
  <si>
    <t>Q3</t>
  </si>
  <si>
    <t>Q4</t>
  </si>
  <si>
    <t>Negyedéves/Quarterly</t>
  </si>
  <si>
    <t>HUF/kWh/h/period</t>
  </si>
  <si>
    <t>Havi/Monthly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</si>
  <si>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</si>
  <si>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</si>
  <si>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</si>
  <si>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</si>
  <si>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</si>
  <si>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</si>
  <si>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</si>
  <si>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</si>
  <si>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</si>
  <si>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OKT</t>
  </si>
  <si>
    <t>NOV</t>
  </si>
  <si>
    <t>DEC</t>
  </si>
  <si>
    <t>Kapacitásdíj:</t>
  </si>
  <si>
    <t>Hazai</t>
  </si>
  <si>
    <t>keverő</t>
  </si>
  <si>
    <t>import</t>
  </si>
  <si>
    <t>termelés</t>
  </si>
  <si>
    <t>tároló entry</t>
  </si>
  <si>
    <t>kiskundorozsma</t>
  </si>
  <si>
    <t>Csanádpalota</t>
  </si>
  <si>
    <t>Szorzók:</t>
  </si>
  <si>
    <t>Negyedéves 1</t>
  </si>
  <si>
    <t>Negyedéves 2</t>
  </si>
  <si>
    <t>Havi 1</t>
  </si>
  <si>
    <t>Havi 2</t>
  </si>
  <si>
    <t>szorzó negyedéves</t>
  </si>
  <si>
    <t>havi</t>
  </si>
  <si>
    <t>napi</t>
  </si>
  <si>
    <t>BH díj</t>
  </si>
  <si>
    <t>BH kat</t>
  </si>
  <si>
    <t>BH1</t>
  </si>
  <si>
    <t>BH2</t>
  </si>
  <si>
    <t>N/A</t>
  </si>
  <si>
    <t>Mosonmagyaróvár (AT&gt;HU)</t>
  </si>
  <si>
    <t>Drávaszerdahely (CR&gt;HU)</t>
  </si>
  <si>
    <t>Drávaszerdahely (HU&gt;CR)</t>
  </si>
  <si>
    <t>Termelés/Production</t>
  </si>
  <si>
    <t>Keverőkör/Blending</t>
  </si>
  <si>
    <t>Kiskundorozsma (HU&gt;RS)</t>
  </si>
  <si>
    <t>Csanádpalota (RO&gt;HU)</t>
  </si>
  <si>
    <t>Csanádpalota (HU&gt;RO)</t>
  </si>
  <si>
    <t>Szorzó kat</t>
  </si>
  <si>
    <t>Negyedév/Quarter</t>
  </si>
  <si>
    <t>Hónap/Month</t>
  </si>
  <si>
    <t>Q1 (Okt-Dec)</t>
  </si>
  <si>
    <t>Q2 (Jan-Mar)</t>
  </si>
  <si>
    <t>Q3 (Apr-Jun)</t>
  </si>
  <si>
    <t>Q4 (Jul-Sep)</t>
  </si>
  <si>
    <t>Hálózati pont/Network point</t>
  </si>
  <si>
    <t>Kapacitásigény/Capacity request</t>
  </si>
  <si>
    <t>Kérjük töltse ki a lenti zöld cellákat / Please fill in the below green cells</t>
  </si>
  <si>
    <t>Kapacitásdíj egység/Capacity fee unit is</t>
  </si>
  <si>
    <t>Ft/kWh/h/időszak    /</t>
  </si>
  <si>
    <t>Firm kat</t>
  </si>
  <si>
    <t>FIRM1</t>
  </si>
  <si>
    <t>UGS entry (UGS&gt;TSO)</t>
  </si>
  <si>
    <t>UGS exit (TSO&gt;UGS)</t>
  </si>
  <si>
    <t>Hazai kiadás/Domestic exit</t>
  </si>
  <si>
    <t>Kapacitásdíj/Capacity fee</t>
  </si>
  <si>
    <t>Szorzó kat. / Multiplier cat.</t>
  </si>
  <si>
    <t>Physical</t>
  </si>
  <si>
    <t>Szorzók/Multipliers:</t>
  </si>
  <si>
    <t>Negyedéves/Quarterly 1</t>
  </si>
  <si>
    <t>Negyedéves/Quarterly 2</t>
  </si>
  <si>
    <t>Havi/Monthly 1</t>
  </si>
  <si>
    <t>Havi/Monthly 2</t>
  </si>
  <si>
    <t>HUF/kWh/h/év(year)</t>
  </si>
  <si>
    <t>Ellentétes irány/Reverse flow</t>
  </si>
  <si>
    <t>Napi/Day-ahead</t>
  </si>
  <si>
    <t>Napon belüli/Withinday</t>
  </si>
  <si>
    <t>Órák száma</t>
  </si>
  <si>
    <t>Napon belüli 1</t>
  </si>
  <si>
    <t>Napi 1</t>
  </si>
  <si>
    <t>Napi 2</t>
  </si>
  <si>
    <t>Napon belüli 2</t>
  </si>
  <si>
    <t>napon belüli</t>
  </si>
  <si>
    <t>Gázórák száma/ No.of gashours</t>
  </si>
  <si>
    <t>Napi/ Daily 1</t>
  </si>
  <si>
    <t>Napi/ Daily 2</t>
  </si>
  <si>
    <t>Napon belüli / Within-a-day 1</t>
  </si>
  <si>
    <t>Napon belüli / Within-a-day 2</t>
  </si>
  <si>
    <t>Balassagyarmat (SK&gt;HU)</t>
  </si>
  <si>
    <t>Balassagyarmat (HU&gt;SK)</t>
  </si>
  <si>
    <t>Megszakítható díj</t>
  </si>
  <si>
    <t>VIP Bereg (UA&gt;HU)</t>
  </si>
  <si>
    <t>VIP Bereg (HU&gt;UA)</t>
  </si>
  <si>
    <t>Megszakítható kategória</t>
  </si>
  <si>
    <t>Negyedéves msz. HAG</t>
  </si>
  <si>
    <t>Negyedéves msz. Csanád</t>
  </si>
  <si>
    <t>Negyedéves msz. Bereg</t>
  </si>
  <si>
    <t>Negyedéves msz. 1</t>
  </si>
  <si>
    <t>Negyedéves msz. 2</t>
  </si>
  <si>
    <t>Firm</t>
  </si>
  <si>
    <t>INT</t>
  </si>
  <si>
    <t>Havi msz. HAG</t>
  </si>
  <si>
    <t>Havi msz. Csanád</t>
  </si>
  <si>
    <t>Havi msz Bereg</t>
  </si>
  <si>
    <t>Havi msz. 1</t>
  </si>
  <si>
    <t>Havi msz. 2</t>
  </si>
  <si>
    <t>Napi msz. HAG</t>
  </si>
  <si>
    <t>Napi msz. Csanád</t>
  </si>
  <si>
    <t>Napi msz Bereg</t>
  </si>
  <si>
    <t>Napi msz. 2</t>
  </si>
  <si>
    <t>Napi msz. 1</t>
  </si>
  <si>
    <t>Napon belüli msz. HAG</t>
  </si>
  <si>
    <t>Napon belüli msz. Csanád</t>
  </si>
  <si>
    <t>Napon belüli msz Bereg</t>
  </si>
  <si>
    <t>Napon belüli msz. 1</t>
  </si>
  <si>
    <t>Napon belüli msz. 2</t>
  </si>
  <si>
    <t>Kiskundorozsma 2 (RS&gt;HU)</t>
  </si>
  <si>
    <t>Megszakítható kapacitás kedvezmény/ Discount for interruptible capacity</t>
  </si>
  <si>
    <t>A kapacitásdíjak 2021.10.01-től érvényesek/Capacity fees are valid from 01.10.2021</t>
  </si>
  <si>
    <t>Kiskundorozsma 2 (HU&gt;RS)</t>
  </si>
  <si>
    <t>FIRM2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</si>
</sst>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0000\ _F_t_-;\-* #,##0.000000\ _F_t_-;_-* &quot;-&quot;??\ _F_t_-;_-@_-"/>
    <numFmt numFmtId="167" formatCode="0.000%"/>
    <numFmt numFmtId="168" formatCode="_-* #,##0.0000000\ _F_t_-;\-* #,##0.0000000\ _F_t_-;_-* &quot;-&quot;??\ _F_t_-;_-@_-"/>
    <numFmt numFmtId="169" formatCode="0.000000%"/>
    <numFmt numFmtId="170" formatCode="0.0000000%"/>
    <numFmt numFmtId="171" formatCode="0.00000000%"/>
    <numFmt numFmtId="172" formatCode="0.00000E+00"/>
    <numFmt numFmtId="173" formatCode="_-* #,##0.00000000000\ _F_t_-;\-* #,##0.000000000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0" fontId="1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2" applyFont="1" applyFill="1" applyBorder="1" applyAlignment="1">
      <alignment horizontal="right"/>
    </xf>
    <xf numFmtId="0" fontId="5" fillId="2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0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/>
    <xf numFmtId="10" fontId="1" fillId="3" borderId="1" xfId="1" applyNumberFormat="1" applyFont="1" applyFill="1" applyBorder="1"/>
    <xf numFmtId="10" fontId="1" fillId="5" borderId="1" xfId="1" applyNumberFormat="1" applyFont="1" applyFill="1" applyBorder="1"/>
    <xf numFmtId="164" fontId="0" fillId="0" borderId="0" xfId="0" applyNumberFormat="1" applyAlignment="1">
      <alignment horizontal="center"/>
    </xf>
    <xf numFmtId="0" fontId="4" fillId="4" borderId="1" xfId="0" applyFont="1" applyFill="1" applyBorder="1" applyAlignment="1" applyProtection="1">
      <alignment horizontal="right" vertical="center"/>
      <protection locked="0"/>
    </xf>
    <xf numFmtId="165" fontId="6" fillId="4" borderId="1" xfId="2" applyNumberFormat="1" applyFont="1" applyFill="1" applyBorder="1" applyAlignment="1" applyProtection="1">
      <alignment horizontal="right"/>
      <protection locked="0"/>
    </xf>
    <xf numFmtId="0" fontId="9" fillId="0" borderId="0" xfId="0" applyFont="1"/>
    <xf numFmtId="0" fontId="0" fillId="0" borderId="2" xfId="0" applyBorder="1" applyAlignment="1">
      <alignment horizontal="center"/>
    </xf>
    <xf numFmtId="166" fontId="2" fillId="3" borderId="1" xfId="2" applyNumberFormat="1" applyFont="1" applyFill="1" applyBorder="1" applyAlignment="1">
      <alignment horizontal="right"/>
    </xf>
    <xf numFmtId="166" fontId="2" fillId="5" borderId="1" xfId="2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2" fillId="0" borderId="0" xfId="2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0" fillId="0" borderId="11" xfId="0" applyBorder="1" applyAlignment="1">
      <alignment horizontal="center"/>
    </xf>
    <xf numFmtId="0" fontId="0" fillId="0" borderId="1" xfId="0" applyFill="1" applyBorder="1"/>
    <xf numFmtId="10" fontId="0" fillId="0" borderId="1" xfId="0" applyNumberFormat="1" applyBorder="1"/>
    <xf numFmtId="167" fontId="0" fillId="0" borderId="1" xfId="0" applyNumberFormat="1" applyBorder="1"/>
    <xf numFmtId="0" fontId="0" fillId="0" borderId="0" xfId="0" applyFill="1" applyBorder="1" applyAlignment="1">
      <alignment horizontal="center"/>
    </xf>
    <xf numFmtId="168" fontId="2" fillId="3" borderId="1" xfId="2" applyNumberFormat="1" applyFont="1" applyFill="1" applyBorder="1" applyAlignment="1">
      <alignment horizontal="right"/>
    </xf>
    <xf numFmtId="168" fontId="2" fillId="5" borderId="1" xfId="2" applyNumberFormat="1" applyFont="1" applyFill="1" applyBorder="1" applyAlignment="1">
      <alignment horizontal="right"/>
    </xf>
    <xf numFmtId="0" fontId="10" fillId="4" borderId="1" xfId="0" applyFont="1" applyFill="1" applyBorder="1" applyAlignment="1" applyProtection="1">
      <alignment horizontal="center"/>
      <protection locked="0"/>
    </xf>
    <xf numFmtId="10" fontId="0" fillId="3" borderId="1" xfId="0" applyNumberFormat="1" applyFill="1" applyBorder="1"/>
    <xf numFmtId="167" fontId="1" fillId="3" borderId="1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Fill="1" applyBorder="1"/>
    <xf numFmtId="167" fontId="0" fillId="0" borderId="1" xfId="1" applyNumberFormat="1" applyFont="1" applyBorder="1"/>
    <xf numFmtId="10" fontId="0" fillId="0" borderId="0" xfId="0" applyNumberFormat="1"/>
    <xf numFmtId="167" fontId="0" fillId="0" borderId="0" xfId="0" applyNumberFormat="1"/>
    <xf numFmtId="0" fontId="0" fillId="0" borderId="0" xfId="0" applyBorder="1" applyAlignment="1">
      <alignment horizontal="right"/>
    </xf>
    <xf numFmtId="169" fontId="0" fillId="0" borderId="1" xfId="0" applyNumberFormat="1" applyBorder="1"/>
    <xf numFmtId="0" fontId="0" fillId="0" borderId="0" xfId="0" applyFill="1" applyBorder="1"/>
    <xf numFmtId="170" fontId="1" fillId="0" borderId="1" xfId="1" applyNumberFormat="1" applyFont="1" applyBorder="1"/>
    <xf numFmtId="10" fontId="0" fillId="0" borderId="11" xfId="1" applyNumberFormat="1" applyFont="1" applyBorder="1"/>
    <xf numFmtId="10" fontId="0" fillId="0" borderId="0" xfId="1" applyNumberFormat="1" applyFont="1" applyBorder="1"/>
    <xf numFmtId="170" fontId="0" fillId="0" borderId="1" xfId="0" applyNumberFormat="1" applyBorder="1"/>
    <xf numFmtId="171" fontId="0" fillId="0" borderId="1" xfId="0" applyNumberFormat="1" applyBorder="1"/>
    <xf numFmtId="172" fontId="0" fillId="0" borderId="0" xfId="0" applyNumberFormat="1"/>
    <xf numFmtId="173" fontId="2" fillId="3" borderId="1" xfId="2" applyNumberFormat="1" applyFont="1" applyFill="1" applyBorder="1" applyAlignment="1">
      <alignment horizontal="right"/>
    </xf>
    <xf numFmtId="173" fontId="2" fillId="5" borderId="1" xfId="2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10" fontId="1" fillId="0" borderId="0" xfId="1" applyNumberFormat="1" applyFont="1" applyFill="1" applyBorder="1"/>
    <xf numFmtId="9" fontId="1" fillId="0" borderId="0" xfId="1" applyNumberFormat="1" applyFont="1" applyFill="1" applyBorder="1"/>
    <xf numFmtId="167" fontId="1" fillId="5" borderId="1" xfId="1" applyNumberFormat="1" applyFont="1" applyFill="1" applyBorder="1"/>
    <xf numFmtId="10" fontId="0" fillId="5" borderId="1" xfId="0" applyNumberFormat="1" applyFill="1" applyBorder="1"/>
    <xf numFmtId="168" fontId="2" fillId="3" borderId="1" xfId="2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0" fillId="0" borderId="0" xfId="0" applyAlignment="1"/>
    <xf numFmtId="167" fontId="0" fillId="3" borderId="1" xfId="1" applyNumberFormat="1" applyFont="1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Ezres" xfId="2" builtinId="3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windowProtection="1" showGridLines="0" tabSelected="1" zoomScale="90" zoomScaleNormal="90" workbookViewId="0">
      <selection activeCell="B2" sqref="B2"/>
    </sheetView>
  </sheetViews>
  <sheetFormatPr defaultRowHeight="15" x14ac:dyDescent="0.25"/>
  <cols>
    <col min="1" max="1" width="40" bestFit="1" customWidth="1"/>
    <col min="2" max="2" width="33.140625" bestFit="1" customWidth="1"/>
    <col min="3" max="3" width="29.28515625" customWidth="1"/>
    <col min="4" max="4" width="27.7109375" customWidth="1"/>
    <col min="5" max="5" width="1.85546875" customWidth="1"/>
    <col min="6" max="6" width="22.42578125" customWidth="1"/>
    <col min="7" max="7" width="23.85546875" bestFit="1" customWidth="1"/>
    <col min="8" max="8" width="26.85546875" bestFit="1" customWidth="1"/>
    <col min="9" max="9" width="31.7109375" customWidth="1"/>
    <col min="10" max="10" width="18" customWidth="1"/>
    <col min="12" max="12" width="21.7109375" bestFit="1" customWidth="1"/>
    <col min="13" max="13" width="24.140625" bestFit="1" customWidth="1"/>
    <col min="14" max="14" width="14" customWidth="1"/>
  </cols>
  <sheetData>
    <row r="1" spans="1:13" ht="18.75" x14ac:dyDescent="0.3">
      <c r="A1" s="73" t="s">
        <v>63</v>
      </c>
      <c r="B1" s="74"/>
      <c r="C1" s="75"/>
    </row>
    <row r="2" spans="1:13" ht="18.75" x14ac:dyDescent="0.3">
      <c r="A2" s="9" t="s">
        <v>61</v>
      </c>
      <c r="B2" s="27" t="s">
        <v>46</v>
      </c>
    </row>
    <row r="3" spans="1:13" ht="18.75" x14ac:dyDescent="0.3">
      <c r="A3" s="9" t="s">
        <v>62</v>
      </c>
      <c r="B3" s="28">
        <v>1</v>
      </c>
      <c r="C3" s="9" t="s">
        <v>0</v>
      </c>
    </row>
    <row r="4" spans="1:13" ht="7.5" customHeight="1" x14ac:dyDescent="0.25"/>
    <row r="5" spans="1:13" ht="18.75" x14ac:dyDescent="0.3">
      <c r="A5" s="76" t="s">
        <v>64</v>
      </c>
      <c r="B5" s="76"/>
      <c r="C5" s="9" t="s">
        <v>65</v>
      </c>
      <c r="D5" s="9" t="s">
        <v>11</v>
      </c>
    </row>
    <row r="6" spans="1:13" ht="9.75" customHeight="1" x14ac:dyDescent="0.25"/>
    <row r="7" spans="1:13" ht="18.75" x14ac:dyDescent="0.3">
      <c r="A7" s="76" t="s">
        <v>1</v>
      </c>
      <c r="B7" s="76"/>
      <c r="C7" s="76"/>
      <c r="D7" s="76"/>
      <c r="F7" s="76" t="s">
        <v>10</v>
      </c>
      <c r="G7" s="76"/>
      <c r="H7" s="76"/>
      <c r="I7" s="76"/>
      <c r="J7" s="77"/>
      <c r="K7" s="77"/>
      <c r="L7" s="77"/>
      <c r="M7" s="77"/>
    </row>
    <row r="8" spans="1:13" x14ac:dyDescent="0.25">
      <c r="A8" s="5" t="s">
        <v>2</v>
      </c>
      <c r="B8" s="5" t="s">
        <v>3</v>
      </c>
      <c r="C8" s="5" t="s">
        <v>80</v>
      </c>
      <c r="D8" s="5" t="s">
        <v>4</v>
      </c>
      <c r="F8" s="6" t="s">
        <v>55</v>
      </c>
      <c r="G8" s="5" t="s">
        <v>2</v>
      </c>
      <c r="H8" s="5" t="s">
        <v>3</v>
      </c>
      <c r="I8" s="5" t="s">
        <v>80</v>
      </c>
    </row>
    <row r="9" spans="1:13" x14ac:dyDescent="0.25">
      <c r="A9" s="8">
        <f>IF(VLOOKUP($B$2,Munka2!$B$2:$H$17,7,0)="FIRM1",Tariff_Calculator!$B$3*VLOOKUP(Tariff_Calculator!B2,Munka2!$B$3:$F$17,2,0),"N/A")</f>
        <v>908.93</v>
      </c>
      <c r="B9" s="69">
        <f>VLOOKUP($B$2,Munka2!$B$3:$G$17,6,0)*$B$3</f>
        <v>563.91835059999994</v>
      </c>
      <c r="C9" s="8">
        <f>IF(VLOOKUP($B$2,Munka2!$B$2:$F$17,5,0)="BH1",Tariff_Calculator!$B$3*VLOOKUP(Tariff_Calculator!B2,Munka2!$B$3:$F$17,4,0),"N/A")</f>
        <v>90.89</v>
      </c>
      <c r="D9" s="8" t="str">
        <f>IF(VLOOKUP($B$2,Munka2!$B$2:$G$17,6,0)="SZEZ2",Tariff_Calculator!$B$3*VLOOKUP(Tariff_Calculator!B2,Munka2!$B$3:$G$17,2,0)*0.05,"N/A")</f>
        <v>N/A</v>
      </c>
      <c r="F9" s="7" t="s">
        <v>57</v>
      </c>
      <c r="G9" s="31">
        <f>IF(Tariff_Calculator!$A$9&lt;&gt;"N/A",Tariff_Calculator!$A$9*Munka2!L3,"N/A")</f>
        <v>294.85689200000002</v>
      </c>
      <c r="H9" s="62">
        <f>$B$3*VLOOKUP($B$2,Munka2!$B$3:$C$19,2,0)*Munka2!M3</f>
        <v>182.93511293463999</v>
      </c>
      <c r="I9" s="31">
        <f>IF(Tariff_Calculator!$C$9&lt;&gt;"N/A",Tariff_Calculator!$C$9*Munka2!L3,"N/A")</f>
        <v>29.484716000000002</v>
      </c>
      <c r="J9" s="26"/>
    </row>
    <row r="10" spans="1:13" x14ac:dyDescent="0.25">
      <c r="F10" s="10" t="s">
        <v>58</v>
      </c>
      <c r="G10" s="32">
        <f>IF(Tariff_Calculator!$A$9&lt;&gt;"N/A",Tariff_Calculator!$A$9*Munka2!L4,"N/A")</f>
        <v>286.58562899999998</v>
      </c>
      <c r="H10" s="63">
        <f>$B$3*VLOOKUP($B$2,Munka2!$B$3:$C$19,2,0)*Munka2!M4</f>
        <v>177.80345594418</v>
      </c>
      <c r="I10" s="32">
        <f>IF(Tariff_Calculator!$C$9&lt;&gt;"N/A",Tariff_Calculator!$C$9*Munka2!L4,"N/A")</f>
        <v>28.657617000000002</v>
      </c>
      <c r="J10" s="26"/>
    </row>
    <row r="11" spans="1:13" x14ac:dyDescent="0.25">
      <c r="F11" s="7" t="s">
        <v>59</v>
      </c>
      <c r="G11" s="31">
        <f>IF(Tariff_Calculator!$A$9&lt;&gt;"N/A",Tariff_Calculator!$A$9*Munka2!L5,"N/A")</f>
        <v>184.96725499999997</v>
      </c>
      <c r="H11" s="62">
        <f>$B$3*VLOOKUP($B$2,Munka2!$B$3:$C$19,2,0)*Munka2!M5</f>
        <v>114.75738434709997</v>
      </c>
      <c r="I11" s="31">
        <f>IF(Tariff_Calculator!$C$9&lt;&gt;"N/A",Tariff_Calculator!$C$9*Munka2!L5,"N/A")</f>
        <v>18.496115</v>
      </c>
      <c r="J11" s="26"/>
    </row>
    <row r="12" spans="1:13" x14ac:dyDescent="0.25">
      <c r="F12" s="10" t="s">
        <v>60</v>
      </c>
      <c r="G12" s="32">
        <f>IF(Tariff_Calculator!$A$9&lt;&gt;"N/A",Tariff_Calculator!$A$9*Munka2!L6,"N/A")</f>
        <v>219.597488</v>
      </c>
      <c r="H12" s="63">
        <f>$B$3*VLOOKUP($B$2,Munka2!$B$3:$C$19,2,0)*Munka2!M6</f>
        <v>136.24267350495998</v>
      </c>
      <c r="I12" s="32">
        <f>IF(Tariff_Calculator!$C$9&lt;&gt;"N/A",Tariff_Calculator!$C$9*Munka2!L6,"N/A")</f>
        <v>21.959023999999999</v>
      </c>
      <c r="J12" s="26"/>
    </row>
    <row r="13" spans="1:13" ht="6" customHeight="1" x14ac:dyDescent="0.25">
      <c r="J13" s="2"/>
    </row>
    <row r="14" spans="1:13" ht="18.75" x14ac:dyDescent="0.3">
      <c r="A14" s="76" t="s">
        <v>12</v>
      </c>
      <c r="B14" s="76"/>
      <c r="C14" s="76"/>
      <c r="D14" s="76"/>
      <c r="F14" s="76" t="s">
        <v>81</v>
      </c>
      <c r="G14" s="76"/>
      <c r="H14" s="76"/>
      <c r="I14" s="76"/>
      <c r="J14" s="2"/>
    </row>
    <row r="15" spans="1:13" x14ac:dyDescent="0.25">
      <c r="A15" s="5" t="s">
        <v>56</v>
      </c>
      <c r="B15" s="5" t="s">
        <v>2</v>
      </c>
      <c r="C15" s="5" t="s">
        <v>3</v>
      </c>
      <c r="D15" s="5" t="s">
        <v>80</v>
      </c>
      <c r="F15" s="5" t="s">
        <v>56</v>
      </c>
      <c r="G15" s="5" t="s">
        <v>2</v>
      </c>
      <c r="H15" s="5" t="s">
        <v>3</v>
      </c>
      <c r="I15" s="5" t="s">
        <v>80</v>
      </c>
      <c r="J15" s="2"/>
    </row>
    <row r="16" spans="1:13" x14ac:dyDescent="0.25">
      <c r="A16" s="7" t="s">
        <v>13</v>
      </c>
      <c r="B16" s="31">
        <f>IF(Tariff_Calculator!$A$9&lt;&gt;"N/A",Tariff_Calculator!$A$9*Munka2!Q3,"N/A")</f>
        <v>131.61306400000001</v>
      </c>
      <c r="C16" s="62">
        <f>$B$3*VLOOKUP($B$2,Munka2!$B$3:$C$19,2,0)*Munka2!R3</f>
        <v>81.655377166880001</v>
      </c>
      <c r="D16" s="31">
        <f>IF(Tariff_Calculator!$C$9&lt;&gt;"N/A",Tariff_Calculator!$C$9*Munka2!Q3,"N/A")</f>
        <v>13.160872000000001</v>
      </c>
      <c r="F16" s="7" t="s">
        <v>13</v>
      </c>
      <c r="G16" s="31">
        <f>IF(Tariff_Calculator!$A$9&lt;&gt;"N/A",Tariff_Calculator!$A$9*Munka2!T3,"N/A")</f>
        <v>6.9078679999999997</v>
      </c>
      <c r="H16" s="62">
        <f>$B$3*VLOOKUP($B$2,Munka2!$B$3:$C$19,2,0)*Munka2!U3</f>
        <v>4.28577946456</v>
      </c>
      <c r="I16" s="31">
        <f>IF(Tariff_Calculator!$C$9&lt;&gt;"N/A",Tariff_Calculator!$C$9*Munka2!T3,"N/A")</f>
        <v>0.69076400000000004</v>
      </c>
      <c r="J16" s="2"/>
    </row>
    <row r="17" spans="1:10" x14ac:dyDescent="0.25">
      <c r="A17" s="10" t="s">
        <v>14</v>
      </c>
      <c r="B17" s="32">
        <f>IF(Tariff_Calculator!$A$9&lt;&gt;"N/A",Tariff_Calculator!$A$9*Munka2!Q4,"N/A")</f>
        <v>90.62032099999999</v>
      </c>
      <c r="C17" s="63">
        <f>$B$3*VLOOKUP($B$2,Munka2!$B$3:$C$19,2,0)*Munka2!R4</f>
        <v>56.222659554819998</v>
      </c>
      <c r="D17" s="32">
        <f>IF(Tariff_Calculator!$C$9&lt;&gt;"N/A",Tariff_Calculator!$C$9*Munka2!Q4,"N/A")</f>
        <v>9.0617330000000003</v>
      </c>
      <c r="F17" s="10" t="s">
        <v>14</v>
      </c>
      <c r="G17" s="32">
        <f>IF(Tariff_Calculator!$A$9&lt;&gt;"N/A",Tariff_Calculator!$A$9*Munka2!T4,"N/A")</f>
        <v>5.271793999999999</v>
      </c>
      <c r="H17" s="63">
        <f>$B$3*VLOOKUP($B$2,Munka2!$B$3:$C$19,2,0)*Munka2!U4</f>
        <v>3.2707264334799993</v>
      </c>
      <c r="I17" s="32">
        <f>IF(Tariff_Calculator!$C$9&lt;&gt;"N/A",Tariff_Calculator!$C$9*Munka2!T4,"N/A")</f>
        <v>0.52716200000000002</v>
      </c>
      <c r="J17" s="2"/>
    </row>
    <row r="18" spans="1:10" x14ac:dyDescent="0.25">
      <c r="A18" s="7" t="s">
        <v>15</v>
      </c>
      <c r="B18" s="31">
        <f>IF(Tariff_Calculator!$A$9&lt;&gt;"N/A",Tariff_Calculator!$A$9*Munka2!Q5,"N/A")</f>
        <v>91.983715999999987</v>
      </c>
      <c r="C18" s="62">
        <f>$B$3*VLOOKUP($B$2,Munka2!$B$3:$C$19,2,0)*Munka2!R5</f>
        <v>57.068537080719992</v>
      </c>
      <c r="D18" s="31">
        <f>IF(Tariff_Calculator!$C$9&lt;&gt;"N/A",Tariff_Calculator!$C$9*Munka2!Q5,"N/A")</f>
        <v>9.1980679999999992</v>
      </c>
      <c r="F18" s="7" t="s">
        <v>15</v>
      </c>
      <c r="G18" s="31">
        <f>IF(Tariff_Calculator!$A$9&lt;&gt;"N/A",Tariff_Calculator!$A$9*Munka2!T5,"N/A")</f>
        <v>4.817329</v>
      </c>
      <c r="H18" s="62">
        <f>$B$3*VLOOKUP($B$2,Munka2!$B$3:$C$19,2,0)*Munka2!U5</f>
        <v>2.9887672581799998</v>
      </c>
      <c r="I18" s="31">
        <f>IF(Tariff_Calculator!$C$9&lt;&gt;"N/A",Tariff_Calculator!$C$9*Munka2!T5,"N/A")</f>
        <v>0.48171700000000001</v>
      </c>
      <c r="J18" s="2"/>
    </row>
    <row r="19" spans="1:10" x14ac:dyDescent="0.25">
      <c r="A19" s="10" t="s">
        <v>16</v>
      </c>
      <c r="B19" s="32">
        <f>IF(Tariff_Calculator!$A$9&lt;&gt;"N/A",Tariff_Calculator!$A$9*Munka2!Q6,"N/A")</f>
        <v>76.622799000000001</v>
      </c>
      <c r="C19" s="63">
        <f>$B$3*VLOOKUP($B$2,Munka2!$B$3:$C$19,2,0)*Munka2!R6</f>
        <v>47.538316955579994</v>
      </c>
      <c r="D19" s="32">
        <f>IF(Tariff_Calculator!$C$9&lt;&gt;"N/A",Tariff_Calculator!$C$9*Munka2!Q6,"N/A")</f>
        <v>7.6620270000000001</v>
      </c>
      <c r="F19" s="10" t="s">
        <v>16</v>
      </c>
      <c r="G19" s="32">
        <f>IF(Tariff_Calculator!$A$9&lt;&gt;"N/A",Tariff_Calculator!$A$9*Munka2!T6,"N/A")</f>
        <v>4.1810779999999994</v>
      </c>
      <c r="H19" s="63">
        <f>$B$3*VLOOKUP($B$2,Munka2!$B$3:$C$19,2,0)*Munka2!U6</f>
        <v>2.5940244127600001</v>
      </c>
      <c r="I19" s="32">
        <f>IF(Tariff_Calculator!$C$9&lt;&gt;"N/A",Tariff_Calculator!$C$9*Munka2!T6,"N/A")</f>
        <v>0.41809400000000002</v>
      </c>
      <c r="J19" s="2"/>
    </row>
    <row r="20" spans="1:10" x14ac:dyDescent="0.25">
      <c r="A20" s="7" t="s">
        <v>17</v>
      </c>
      <c r="B20" s="31">
        <f>IF(Tariff_Calculator!$A$9&lt;&gt;"N/A",Tariff_Calculator!$A$9*Munka2!Q7,"N/A")</f>
        <v>60.534738000000004</v>
      </c>
      <c r="C20" s="62">
        <f>$B$3*VLOOKUP($B$2,Munka2!$B$3:$C$19,2,0)*Munka2!R7</f>
        <v>37.55696214996</v>
      </c>
      <c r="D20" s="31">
        <f>IF(Tariff_Calculator!$C$9&lt;&gt;"N/A",Tariff_Calculator!$C$9*Munka2!Q7,"N/A")</f>
        <v>6.0532740000000009</v>
      </c>
      <c r="F20" s="7" t="s">
        <v>17</v>
      </c>
      <c r="G20" s="31">
        <f>IF(Tariff_Calculator!$A$9&lt;&gt;"N/A",Tariff_Calculator!$A$9*Munka2!T7,"N/A")</f>
        <v>3.1812549999999997</v>
      </c>
      <c r="H20" s="62">
        <f>$B$3*VLOOKUP($B$2,Munka2!$B$3:$C$19,2,0)*Munka2!U7</f>
        <v>1.9737142270999999</v>
      </c>
      <c r="I20" s="31">
        <f>IF(Tariff_Calculator!$C$9&lt;&gt;"N/A",Tariff_Calculator!$C$9*Munka2!T7,"N/A")</f>
        <v>0.31811499999999998</v>
      </c>
    </row>
    <row r="21" spans="1:10" x14ac:dyDescent="0.25">
      <c r="A21" s="10" t="s">
        <v>18</v>
      </c>
      <c r="B21" s="32">
        <f>IF(Tariff_Calculator!$A$9&lt;&gt;"N/A",Tariff_Calculator!$A$9*Munka2!Q8,"N/A")</f>
        <v>64.897602000000006</v>
      </c>
      <c r="C21" s="63">
        <f>$B$3*VLOOKUP($B$2,Munka2!$B$3:$C$19,2,0)*Munka2!R8</f>
        <v>40.263770232840002</v>
      </c>
      <c r="D21" s="32">
        <f>IF(Tariff_Calculator!$C$9&lt;&gt;"N/A",Tariff_Calculator!$C$9*Munka2!Q8,"N/A")</f>
        <v>6.4895460000000007</v>
      </c>
      <c r="F21" s="10" t="s">
        <v>18</v>
      </c>
      <c r="G21" s="32">
        <f>IF(Tariff_Calculator!$A$9&lt;&gt;"N/A",Tariff_Calculator!$A$9*Munka2!T8,"N/A")</f>
        <v>3.5448269999999997</v>
      </c>
      <c r="H21" s="63">
        <f>$B$3*VLOOKUP($B$2,Munka2!$B$3:$C$19,2,0)*Munka2!U8</f>
        <v>2.1992815673399995</v>
      </c>
      <c r="I21" s="32">
        <f>IF(Tariff_Calculator!$C$9&lt;&gt;"N/A",Tariff_Calculator!$C$9*Munka2!T8,"N/A")</f>
        <v>0.35447099999999998</v>
      </c>
    </row>
    <row r="22" spans="1:10" x14ac:dyDescent="0.25">
      <c r="A22" s="7" t="s">
        <v>19</v>
      </c>
      <c r="B22" s="31">
        <f>IF(Tariff_Calculator!$A$9&lt;&gt;"N/A",Tariff_Calculator!$A$9*Munka2!Q9,"N/A")</f>
        <v>77.895300999999989</v>
      </c>
      <c r="C22" s="62">
        <f>$B$3*VLOOKUP($B$2,Munka2!$B$3:$C$19,2,0)*Munka2!R9</f>
        <v>48.327802646419997</v>
      </c>
      <c r="D22" s="31">
        <f>IF(Tariff_Calculator!$C$9&lt;&gt;"N/A",Tariff_Calculator!$C$9*Munka2!Q9,"N/A")</f>
        <v>7.7892729999999997</v>
      </c>
      <c r="F22" s="7" t="s">
        <v>19</v>
      </c>
      <c r="G22" s="31">
        <f>IF(Tariff_Calculator!$A$9&lt;&gt;"N/A",Tariff_Calculator!$A$9*Munka2!T9,"N/A")</f>
        <v>4.0901849999999991</v>
      </c>
      <c r="H22" s="62">
        <f>$B$3*VLOOKUP($B$2,Munka2!$B$3:$C$19,2,0)*Munka2!U9</f>
        <v>2.5376325776999993</v>
      </c>
      <c r="I22" s="31">
        <f>IF(Tariff_Calculator!$C$9&lt;&gt;"N/A",Tariff_Calculator!$C$9*Munka2!T9,"N/A")</f>
        <v>0.40900499999999995</v>
      </c>
    </row>
    <row r="23" spans="1:10" x14ac:dyDescent="0.25">
      <c r="A23" s="10" t="s">
        <v>20</v>
      </c>
      <c r="B23" s="32">
        <f>IF(Tariff_Calculator!$A$9&lt;&gt;"N/A",Tariff_Calculator!$A$9*Munka2!Q10,"N/A")</f>
        <v>80.531197999999989</v>
      </c>
      <c r="C23" s="63">
        <f>$B$3*VLOOKUP($B$2,Munka2!$B$3:$C$19,2,0)*Munka2!R10</f>
        <v>49.963165863159993</v>
      </c>
      <c r="D23" s="32">
        <f>IF(Tariff_Calculator!$C$9&lt;&gt;"N/A",Tariff_Calculator!$C$9*Munka2!Q10,"N/A")</f>
        <v>8.052854</v>
      </c>
      <c r="F23" s="10" t="s">
        <v>20</v>
      </c>
      <c r="G23" s="32">
        <f>IF(Tariff_Calculator!$A$9&lt;&gt;"N/A",Tariff_Calculator!$A$9*Munka2!T10,"N/A")</f>
        <v>4.1810779999999994</v>
      </c>
      <c r="H23" s="63">
        <f>$B$3*VLOOKUP($B$2,Munka2!$B$3:$C$19,2,0)*Munka2!U10</f>
        <v>2.5940244127600001</v>
      </c>
      <c r="I23" s="32">
        <f>IF(Tariff_Calculator!$C$9&lt;&gt;"N/A",Tariff_Calculator!$C$9*Munka2!T10,"N/A")</f>
        <v>0.41809400000000002</v>
      </c>
    </row>
    <row r="24" spans="1:10" x14ac:dyDescent="0.25">
      <c r="A24" s="7" t="s">
        <v>21</v>
      </c>
      <c r="B24" s="31">
        <f>IF(Tariff_Calculator!$A$9&lt;&gt;"N/A",Tariff_Calculator!$A$9*Munka2!Q11,"N/A")</f>
        <v>81.531020999999996</v>
      </c>
      <c r="C24" s="62">
        <f>$B$3*VLOOKUP($B$2,Munka2!$B$3:$C$19,2,0)*Munka2!R11</f>
        <v>50.583476048819996</v>
      </c>
      <c r="D24" s="31">
        <f>IF(Tariff_Calculator!$C$9&lt;&gt;"N/A",Tariff_Calculator!$C$9*Munka2!Q11,"N/A")</f>
        <v>8.1528330000000011</v>
      </c>
      <c r="F24" s="7" t="s">
        <v>21</v>
      </c>
      <c r="G24" s="31">
        <f>IF(Tariff_Calculator!$A$9&lt;&gt;"N/A",Tariff_Calculator!$A$9*Munka2!T11,"N/A")</f>
        <v>4.4537569999999995</v>
      </c>
      <c r="H24" s="62">
        <f>$B$3*VLOOKUP($B$2,Munka2!$B$3:$C$19,2,0)*Munka2!U11</f>
        <v>2.7631999179399993</v>
      </c>
      <c r="I24" s="31">
        <f>IF(Tariff_Calculator!$C$9&lt;&gt;"N/A",Tariff_Calculator!$C$9*Munka2!T11,"N/A")</f>
        <v>0.44536100000000001</v>
      </c>
    </row>
    <row r="25" spans="1:10" x14ac:dyDescent="0.25">
      <c r="A25" s="10" t="s">
        <v>22</v>
      </c>
      <c r="B25" s="32">
        <f>IF(Tariff_Calculator!$A$9&lt;&gt;"N/A",Tariff_Calculator!$A$9*Munka2!Q12,"N/A")</f>
        <v>88.075316999999998</v>
      </c>
      <c r="C25" s="63">
        <f>$B$3*VLOOKUP($B$2,Munka2!$B$3:$C$19,2,0)*Munka2!R12</f>
        <v>54.643688173139992</v>
      </c>
      <c r="D25" s="32">
        <f>IF(Tariff_Calculator!$C$9&lt;&gt;"N/A",Tariff_Calculator!$C$9*Munka2!Q12,"N/A")</f>
        <v>8.8072409999999994</v>
      </c>
      <c r="F25" s="10" t="s">
        <v>22</v>
      </c>
      <c r="G25" s="32">
        <f>IF(Tariff_Calculator!$A$9&lt;&gt;"N/A",Tariff_Calculator!$A$9*Munka2!T12,"N/A")</f>
        <v>4.6355430000000002</v>
      </c>
      <c r="H25" s="63">
        <f>$B$3*VLOOKUP($B$2,Munka2!$B$3:$C$19,2,0)*Munka2!U12</f>
        <v>2.87598358806</v>
      </c>
      <c r="I25" s="32">
        <f>IF(Tariff_Calculator!$C$9&lt;&gt;"N/A",Tariff_Calculator!$C$9*Munka2!T12,"N/A")</f>
        <v>0.46353900000000003</v>
      </c>
    </row>
    <row r="26" spans="1:10" x14ac:dyDescent="0.25">
      <c r="A26" s="7" t="s">
        <v>23</v>
      </c>
      <c r="B26" s="31">
        <f>IF(Tariff_Calculator!$A$9&lt;&gt;"N/A",Tariff_Calculator!$A$9*Munka2!Q13,"N/A")</f>
        <v>96.801044999999988</v>
      </c>
      <c r="C26" s="62">
        <f>$B$3*VLOOKUP($B$2,Munka2!$B$3:$C$19,2,0)*Munka2!R13</f>
        <v>60.057304338899996</v>
      </c>
      <c r="D26" s="31">
        <f>IF(Tariff_Calculator!$C$9&lt;&gt;"N/A",Tariff_Calculator!$C$9*Munka2!Q13,"N/A")</f>
        <v>9.679784999999999</v>
      </c>
      <c r="F26" s="7" t="s">
        <v>23</v>
      </c>
      <c r="G26" s="31">
        <f>IF(Tariff_Calculator!$A$9&lt;&gt;"N/A",Tariff_Calculator!$A$9*Munka2!T13,"N/A")</f>
        <v>5.271793999999999</v>
      </c>
      <c r="H26" s="62">
        <f>$B$3*VLOOKUP($B$2,Munka2!$B$3:$C$19,2,0)*Munka2!U13</f>
        <v>3.2707264334799993</v>
      </c>
      <c r="I26" s="31">
        <f>IF(Tariff_Calculator!$C$9&lt;&gt;"N/A",Tariff_Calculator!$C$9*Munka2!T13,"N/A")</f>
        <v>0.52716200000000002</v>
      </c>
    </row>
    <row r="27" spans="1:10" x14ac:dyDescent="0.25">
      <c r="A27" s="10" t="s">
        <v>24</v>
      </c>
      <c r="B27" s="32">
        <f>IF(Tariff_Calculator!$A$9&lt;&gt;"N/A",Tariff_Calculator!$A$9*Munka2!Q14,"N/A")</f>
        <v>137.79378800000001</v>
      </c>
      <c r="C27" s="63">
        <f>$B$3*VLOOKUP($B$2,Munka2!$B$3:$C$19,2,0)*Munka2!R14</f>
        <v>85.490021950959999</v>
      </c>
      <c r="D27" s="32">
        <f>IF(Tariff_Calculator!$C$9&lt;&gt;"N/A",Tariff_Calculator!$C$9*Munka2!Q14,"N/A")</f>
        <v>13.778924000000002</v>
      </c>
      <c r="F27" s="10" t="s">
        <v>24</v>
      </c>
      <c r="G27" s="32">
        <f>IF(Tariff_Calculator!$A$9&lt;&gt;"N/A",Tariff_Calculator!$A$9*Munka2!T14,"N/A")</f>
        <v>7.1805470000000007</v>
      </c>
      <c r="H27" s="63">
        <f>$B$3*VLOOKUP($B$2,Munka2!$B$3:$C$19,2,0)*Munka2!U14</f>
        <v>4.4549549697400002</v>
      </c>
      <c r="I27" s="32">
        <f>IF(Tariff_Calculator!$C$9&lt;&gt;"N/A",Tariff_Calculator!$C$9*Munka2!T14,"N/A")</f>
        <v>0.71803100000000009</v>
      </c>
    </row>
    <row r="29" spans="1:10" ht="18.75" x14ac:dyDescent="0.3">
      <c r="A29" s="76" t="s">
        <v>82</v>
      </c>
      <c r="B29" s="76"/>
      <c r="C29" s="76"/>
      <c r="D29" s="76"/>
    </row>
    <row r="30" spans="1:10" ht="18.75" x14ac:dyDescent="0.3">
      <c r="A30" s="9" t="s">
        <v>89</v>
      </c>
      <c r="B30" s="44">
        <v>1</v>
      </c>
      <c r="C30" s="9"/>
      <c r="D30" s="9"/>
    </row>
    <row r="31" spans="1:10" x14ac:dyDescent="0.25">
      <c r="A31" s="5" t="s">
        <v>56</v>
      </c>
      <c r="B31" s="5" t="s">
        <v>2</v>
      </c>
      <c r="C31" s="5" t="s">
        <v>3</v>
      </c>
      <c r="D31" s="5" t="s">
        <v>80</v>
      </c>
    </row>
    <row r="32" spans="1:10" x14ac:dyDescent="0.25">
      <c r="A32" s="7" t="s">
        <v>13</v>
      </c>
      <c r="B32" s="42">
        <f>IF(Tariff_Calculator!$A$9&lt;&gt;"N/A",Tariff_Calculator!$A$9*Munka2!Q18*$B$30,"N/A")</f>
        <v>0.46355430000000003</v>
      </c>
      <c r="C32" s="62">
        <f>$B$3*VLOOKUP($B$2,Munka2!$B$3:$C$19,2,0)*Munka2!R18*$B$30</f>
        <v>0.28759835880599999</v>
      </c>
      <c r="D32" s="31">
        <f>IF(Tariff_Calculator!$C$9&lt;&gt;"N/A",Tariff_Calculator!$C$9*Munka2!Q18*$B$30,"N/A")</f>
        <v>4.6353900000000003E-2</v>
      </c>
    </row>
    <row r="33" spans="1:4" x14ac:dyDescent="0.25">
      <c r="A33" s="10" t="s">
        <v>14</v>
      </c>
      <c r="B33" s="43">
        <f>IF(Tariff_Calculator!$A$9&lt;&gt;"N/A",Tariff_Calculator!$A$9*Munka2!Q19*$B$30,"N/A")</f>
        <v>0.35448269999999998</v>
      </c>
      <c r="C33" s="63">
        <f>$B$3*VLOOKUP($B$2,Munka2!$B$3:$C$19,2,0)*Munka2!R19*B30</f>
        <v>0.21992815673399999</v>
      </c>
      <c r="D33" s="32">
        <f>IF(Tariff_Calculator!$C$9&lt;&gt;"N/A",Tariff_Calculator!$C$9*Munka2!Q19*$B$30,"N/A")</f>
        <v>3.5447100000000002E-2</v>
      </c>
    </row>
    <row r="34" spans="1:4" x14ac:dyDescent="0.25">
      <c r="A34" s="7" t="s">
        <v>15</v>
      </c>
      <c r="B34" s="42">
        <f>IF(Tariff_Calculator!$A$9&lt;&gt;"N/A",Tariff_Calculator!$A$9*Munka2!Q20*$B$30,"N/A")</f>
        <v>0.31812550000000001</v>
      </c>
      <c r="C34" s="62">
        <f>$B$3*VLOOKUP($B$2,Munka2!$B$3:$C$19,2,0)*Munka2!R20*B30</f>
        <v>0.19737142270999999</v>
      </c>
      <c r="D34" s="31">
        <f>IF(Tariff_Calculator!$C$9&lt;&gt;"N/A",Tariff_Calculator!$C$9*Munka2!Q20*$B$30,"N/A")</f>
        <v>3.1811499999999999E-2</v>
      </c>
    </row>
    <row r="35" spans="1:4" x14ac:dyDescent="0.25">
      <c r="A35" s="10" t="s">
        <v>16</v>
      </c>
      <c r="B35" s="43">
        <f>IF(Tariff_Calculator!$A$9&lt;&gt;"N/A",Tariff_Calculator!$A$9*Munka2!Q21*$B$30,"N/A")</f>
        <v>0.27267899999999995</v>
      </c>
      <c r="C35" s="63">
        <f>$B$3*VLOOKUP($B$2,Munka2!$B$3:$C$19,2,0)*Munka2!R21*B30</f>
        <v>0.16917550517999996</v>
      </c>
      <c r="D35" s="32">
        <f>IF(Tariff_Calculator!$C$9&lt;&gt;"N/A",Tariff_Calculator!$C$9*Munka2!Q21*$B$30,"N/A")</f>
        <v>2.7266999999999996E-2</v>
      </c>
    </row>
    <row r="36" spans="1:4" x14ac:dyDescent="0.25">
      <c r="A36" s="7" t="s">
        <v>17</v>
      </c>
      <c r="B36" s="42">
        <f>IF(Tariff_Calculator!$A$9&lt;&gt;"N/A",Tariff_Calculator!$A$9*Munka2!Q22*$B$30,"N/A")</f>
        <v>0.20905389999999999</v>
      </c>
      <c r="C36" s="62">
        <f>$B$3*VLOOKUP($B$2,Munka2!$B$3:$C$19,2,0)*Munka2!R22*B30</f>
        <v>0.12970122063799999</v>
      </c>
      <c r="D36" s="31">
        <f>IF(Tariff_Calculator!$C$9&lt;&gt;"N/A",Tariff_Calculator!$C$9*Munka2!Q22*$B$30,"N/A")</f>
        <v>2.0904700000000002E-2</v>
      </c>
    </row>
    <row r="37" spans="1:4" x14ac:dyDescent="0.25">
      <c r="A37" s="10" t="s">
        <v>18</v>
      </c>
      <c r="B37" s="43">
        <f>IF(Tariff_Calculator!$A$9&lt;&gt;"N/A",Tariff_Calculator!$A$9*Munka2!Q23*$B$30,"N/A")</f>
        <v>0.23632179999999997</v>
      </c>
      <c r="C37" s="63">
        <f>$B$3*VLOOKUP($B$2,Munka2!$B$3:$C$19,2,0)*Munka2!R23*B30</f>
        <v>0.14661877115599997</v>
      </c>
      <c r="D37" s="32">
        <f>IF(Tariff_Calculator!$C$9&lt;&gt;"N/A",Tariff_Calculator!$C$9*Munka2!Q23*$B$30,"N/A")</f>
        <v>2.3631399999999997E-2</v>
      </c>
    </row>
    <row r="38" spans="1:4" x14ac:dyDescent="0.25">
      <c r="A38" s="7" t="s">
        <v>19</v>
      </c>
      <c r="B38" s="42">
        <f>IF(Tariff_Calculator!$A$9&lt;&gt;"N/A",Tariff_Calculator!$A$9*Munka2!Q24*$B$30,"N/A")</f>
        <v>0.27267899999999995</v>
      </c>
      <c r="C38" s="62">
        <f>$B$3*VLOOKUP($B$2,Munka2!$B$3:$C$19,2,0)*Munka2!R24*B30</f>
        <v>0.16917550517999996</v>
      </c>
      <c r="D38" s="31">
        <f>IF(Tariff_Calculator!$C$9&lt;&gt;"N/A",Tariff_Calculator!$C$9*Munka2!Q24*$B$30,"N/A")</f>
        <v>2.7266999999999996E-2</v>
      </c>
    </row>
    <row r="39" spans="1:4" x14ac:dyDescent="0.25">
      <c r="A39" s="10" t="s">
        <v>20</v>
      </c>
      <c r="B39" s="43">
        <f>IF(Tariff_Calculator!$A$9&lt;&gt;"N/A",Tariff_Calculator!$A$9*Munka2!Q25*$B$30,"N/A")</f>
        <v>0.28176829999999997</v>
      </c>
      <c r="C39" s="63">
        <f>$B$3*VLOOKUP($B$2,Munka2!$B$3:$C$19,2,0)*Munka2!R25*B30</f>
        <v>0.17481468868599997</v>
      </c>
      <c r="D39" s="32">
        <f>IF(Tariff_Calculator!$C$9&lt;&gt;"N/A",Tariff_Calculator!$C$9*Munka2!Q25*$B$30,"N/A")</f>
        <v>2.81759E-2</v>
      </c>
    </row>
    <row r="40" spans="1:4" x14ac:dyDescent="0.25">
      <c r="A40" s="7" t="s">
        <v>21</v>
      </c>
      <c r="B40" s="42">
        <f>IF(Tariff_Calculator!$A$9&lt;&gt;"N/A",Tariff_Calculator!$A$9*Munka2!Q26*$B$30,"N/A")</f>
        <v>0.29085759999999999</v>
      </c>
      <c r="C40" s="62">
        <f>$B$3*VLOOKUP($B$2,Munka2!$B$3:$C$19,2,0)*Munka2!R26*B30</f>
        <v>0.18045387219199999</v>
      </c>
      <c r="D40" s="31">
        <f>IF(Tariff_Calculator!$C$9&lt;&gt;"N/A",Tariff_Calculator!$C$9*Munka2!Q26*$B$30,"N/A")</f>
        <v>2.9084800000000001E-2</v>
      </c>
    </row>
    <row r="41" spans="1:4" x14ac:dyDescent="0.25">
      <c r="A41" s="10" t="s">
        <v>22</v>
      </c>
      <c r="B41" s="43">
        <f>IF(Tariff_Calculator!$A$9&lt;&gt;"N/A",Tariff_Calculator!$A$9*Munka2!Q27*$B$30,"N/A")</f>
        <v>0.30903619999999998</v>
      </c>
      <c r="C41" s="63">
        <f>$B$3*VLOOKUP($B$2,Munka2!$B$3:$C$19,2,0)*Munka2!R27*B30</f>
        <v>0.19173223920400001</v>
      </c>
      <c r="D41" s="32">
        <f>IF(Tariff_Calculator!$C$9&lt;&gt;"N/A",Tariff_Calculator!$C$9*Munka2!Q27*$B$30,"N/A")</f>
        <v>3.0902600000000002E-2</v>
      </c>
    </row>
    <row r="42" spans="1:4" x14ac:dyDescent="0.25">
      <c r="A42" s="7" t="s">
        <v>23</v>
      </c>
      <c r="B42" s="42">
        <f>IF(Tariff_Calculator!$A$9&lt;&gt;"N/A",Tariff_Calculator!$A$9*Munka2!Q28*$B$30,"N/A")</f>
        <v>0.34539340000000002</v>
      </c>
      <c r="C42" s="62">
        <f>$B$3*VLOOKUP($B$2,Munka2!$B$3:$C$19,2,0)*Munka2!R28*B30</f>
        <v>0.214288973228</v>
      </c>
      <c r="D42" s="31">
        <f>IF(Tariff_Calculator!$C$9&lt;&gt;"N/A",Tariff_Calculator!$C$9*Munka2!Q28*$B$30,"N/A")</f>
        <v>3.4538200000000005E-2</v>
      </c>
    </row>
    <row r="43" spans="1:4" x14ac:dyDescent="0.25">
      <c r="A43" s="10" t="s">
        <v>24</v>
      </c>
      <c r="B43" s="43">
        <f>IF(Tariff_Calculator!$A$9&lt;&gt;"N/A",Tariff_Calculator!$A$9*Munka2!Q29*$B$30,"N/A")</f>
        <v>0.48173289999999996</v>
      </c>
      <c r="C43" s="63">
        <f>$B$3*VLOOKUP($B$2,Munka2!$B$3:$C$19,2,0)*Munka2!R29*B30</f>
        <v>0.29887672581799996</v>
      </c>
      <c r="D43" s="32">
        <f>IF(Tariff_Calculator!$C$9&lt;&gt;"N/A",Tariff_Calculator!$C$9*Munka2!Q29*$B$30,"N/A")</f>
        <v>4.8171699999999998E-2</v>
      </c>
    </row>
    <row r="44" spans="1:4" x14ac:dyDescent="0.25">
      <c r="A44" s="34"/>
      <c r="B44" s="35"/>
      <c r="C44" s="36"/>
      <c r="D44" s="35"/>
    </row>
    <row r="45" spans="1:4" x14ac:dyDescent="0.25">
      <c r="A45" s="29" t="s">
        <v>124</v>
      </c>
    </row>
  </sheetData>
  <sheetProtection algorithmName="SHA-512" hashValue="RyWqHUutUYyd2MdW6BLQG9UCcwEJdrczcPgvjiOn7HgfZIOcl9IoAhKRfkdbLklgmLLMHjibLDEC7xQc759qxg==" saltValue="pTq+xBmesqmAtpIBm4UYIw==" spinCount="100000" sheet="1" selectLockedCells="1"/>
  <mergeCells count="8">
    <mergeCell ref="A1:C1"/>
    <mergeCell ref="A7:D7"/>
    <mergeCell ref="F7:I7"/>
    <mergeCell ref="A29:D29"/>
    <mergeCell ref="J7:M7"/>
    <mergeCell ref="A14:D14"/>
    <mergeCell ref="F14:I14"/>
    <mergeCell ref="A5:B5"/>
  </mergeCells>
  <pageMargins left="0.7" right="0.7" top="0.75" bottom="0.75" header="0.3" footer="0.3"/>
  <pageSetup paperSize="9" scale="36" orientation="portrait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378F0B-EEE2-49F2-92FF-2DA31517BC57}">
          <x14:formula1>
            <xm:f>Munka2!$W$3:$W$27</xm:f>
          </x14:formula1>
          <xm:sqref>B30</xm:sqref>
        </x14:dataValidation>
        <x14:dataValidation type="list" allowBlank="1" showInputMessage="1" showErrorMessage="1" xr:uid="{00000000-0002-0000-0000-000000000000}">
          <x14:formula1>
            <xm:f>Munka2!$B$3:$B$19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40"/>
  <sheetViews>
    <sheetView windowProtection="1" zoomScaleNormal="100" workbookViewId="0">
      <selection activeCell="M20" sqref="M20"/>
    </sheetView>
  </sheetViews>
  <sheetFormatPr defaultRowHeight="15" x14ac:dyDescent="0.25"/>
  <cols>
    <col min="1" max="1" width="41.42578125" customWidth="1"/>
    <col min="2" max="2" width="15.7109375" customWidth="1"/>
    <col min="3" max="3" width="13.140625" customWidth="1"/>
    <col min="4" max="4" width="11.7109375" customWidth="1"/>
    <col min="5" max="5" width="12.28515625" customWidth="1"/>
    <col min="6" max="6" width="13" customWidth="1"/>
    <col min="7" max="7" width="17.7109375" customWidth="1"/>
    <col min="8" max="8" width="13.7109375" customWidth="1"/>
    <col min="9" max="9" width="12.140625" customWidth="1"/>
    <col min="10" max="10" width="13.42578125" customWidth="1"/>
    <col min="11" max="11" width="12.7109375" customWidth="1"/>
    <col min="12" max="12" width="11.85546875" customWidth="1"/>
    <col min="13" max="13" width="12" customWidth="1"/>
  </cols>
  <sheetData>
    <row r="3" spans="1:7" ht="18.75" x14ac:dyDescent="0.3">
      <c r="A3" s="92" t="s">
        <v>61</v>
      </c>
      <c r="B3" s="76" t="s">
        <v>71</v>
      </c>
      <c r="C3" s="76"/>
      <c r="D3" s="80" t="s">
        <v>72</v>
      </c>
      <c r="E3" s="88"/>
      <c r="F3" s="80" t="s">
        <v>123</v>
      </c>
      <c r="G3" s="81"/>
    </row>
    <row r="4" spans="1:7" ht="18.75" x14ac:dyDescent="0.3">
      <c r="A4" s="93"/>
      <c r="B4" s="76" t="s">
        <v>79</v>
      </c>
      <c r="C4" s="91"/>
      <c r="D4" s="89"/>
      <c r="E4" s="90"/>
      <c r="F4" s="82"/>
      <c r="G4" s="83"/>
    </row>
    <row r="5" spans="1:7" ht="18.75" x14ac:dyDescent="0.25">
      <c r="A5" s="94"/>
      <c r="B5" s="18" t="s">
        <v>73</v>
      </c>
      <c r="C5" s="18" t="s">
        <v>5</v>
      </c>
      <c r="D5" s="14"/>
      <c r="E5" s="15"/>
      <c r="F5" s="84"/>
      <c r="G5" s="85"/>
    </row>
    <row r="6" spans="1:7" x14ac:dyDescent="0.25">
      <c r="A6" s="12" t="s">
        <v>46</v>
      </c>
      <c r="B6" s="16">
        <v>908.93</v>
      </c>
      <c r="C6" s="16">
        <v>887.96</v>
      </c>
      <c r="D6" s="78">
        <v>2</v>
      </c>
      <c r="E6" s="78">
        <v>2</v>
      </c>
      <c r="F6" s="86">
        <v>0.37957999999999997</v>
      </c>
      <c r="G6" s="86"/>
    </row>
    <row r="7" spans="1:7" x14ac:dyDescent="0.25">
      <c r="A7" s="13" t="s">
        <v>97</v>
      </c>
      <c r="B7" s="17">
        <v>908.93</v>
      </c>
      <c r="C7" s="17" t="s">
        <v>45</v>
      </c>
      <c r="D7" s="79">
        <v>2</v>
      </c>
      <c r="E7" s="79">
        <v>2</v>
      </c>
      <c r="F7" s="79">
        <v>0</v>
      </c>
      <c r="G7" s="79"/>
    </row>
    <row r="8" spans="1:7" x14ac:dyDescent="0.25">
      <c r="A8" s="12" t="s">
        <v>98</v>
      </c>
      <c r="B8" s="16">
        <v>887.96</v>
      </c>
      <c r="C8" s="16" t="s">
        <v>45</v>
      </c>
      <c r="D8" s="78">
        <v>2</v>
      </c>
      <c r="E8" s="78">
        <v>2</v>
      </c>
      <c r="F8" s="86">
        <v>3.32E-2</v>
      </c>
      <c r="G8" s="86"/>
    </row>
    <row r="9" spans="1:7" x14ac:dyDescent="0.25">
      <c r="A9" s="13" t="s">
        <v>52</v>
      </c>
      <c r="B9" s="17">
        <v>908.93</v>
      </c>
      <c r="C9" s="17" t="s">
        <v>45</v>
      </c>
      <c r="D9" s="79">
        <v>2</v>
      </c>
      <c r="E9" s="79">
        <v>2</v>
      </c>
      <c r="F9" s="79">
        <v>0</v>
      </c>
      <c r="G9" s="79"/>
    </row>
    <row r="10" spans="1:7" x14ac:dyDescent="0.25">
      <c r="A10" s="12" t="s">
        <v>53</v>
      </c>
      <c r="B10" s="16">
        <v>887.96</v>
      </c>
      <c r="C10" s="16" t="s">
        <v>45</v>
      </c>
      <c r="D10" s="78">
        <v>2</v>
      </c>
      <c r="E10" s="78">
        <v>2</v>
      </c>
      <c r="F10" s="87">
        <v>6.1000000000000004E-3</v>
      </c>
      <c r="G10" s="87"/>
    </row>
    <row r="11" spans="1:7" x14ac:dyDescent="0.25">
      <c r="A11" s="13" t="s">
        <v>47</v>
      </c>
      <c r="B11" s="17">
        <v>908.93</v>
      </c>
      <c r="C11" s="17" t="s">
        <v>45</v>
      </c>
      <c r="D11" s="79">
        <v>2</v>
      </c>
      <c r="E11" s="79">
        <v>2</v>
      </c>
      <c r="F11" s="79">
        <v>0</v>
      </c>
      <c r="G11" s="79"/>
    </row>
    <row r="12" spans="1:7" x14ac:dyDescent="0.25">
      <c r="A12" s="12" t="s">
        <v>48</v>
      </c>
      <c r="B12" s="16">
        <v>887.96</v>
      </c>
      <c r="C12" s="16" t="s">
        <v>45</v>
      </c>
      <c r="D12" s="78">
        <v>2</v>
      </c>
      <c r="E12" s="78">
        <v>2</v>
      </c>
      <c r="F12" s="78">
        <v>0</v>
      </c>
      <c r="G12" s="78"/>
    </row>
    <row r="13" spans="1:7" x14ac:dyDescent="0.25">
      <c r="A13" s="13" t="s">
        <v>51</v>
      </c>
      <c r="B13" s="17">
        <v>887.96</v>
      </c>
      <c r="C13" s="17" t="s">
        <v>45</v>
      </c>
      <c r="D13" s="79">
        <v>2</v>
      </c>
      <c r="E13" s="79">
        <v>2</v>
      </c>
      <c r="F13" s="79">
        <v>0</v>
      </c>
      <c r="G13" s="79"/>
    </row>
    <row r="14" spans="1:7" x14ac:dyDescent="0.25">
      <c r="A14" s="12" t="s">
        <v>122</v>
      </c>
      <c r="B14" s="70">
        <v>908.93</v>
      </c>
      <c r="C14" s="70" t="s">
        <v>45</v>
      </c>
      <c r="D14" s="78">
        <v>2</v>
      </c>
      <c r="E14" s="78">
        <v>2</v>
      </c>
      <c r="F14" s="78">
        <v>0</v>
      </c>
      <c r="G14" s="78"/>
    </row>
    <row r="15" spans="1:7" x14ac:dyDescent="0.25">
      <c r="A15" s="13" t="s">
        <v>125</v>
      </c>
      <c r="B15" s="72">
        <v>887.96</v>
      </c>
      <c r="C15" s="72" t="s">
        <v>45</v>
      </c>
      <c r="D15" s="79">
        <v>2</v>
      </c>
      <c r="E15" s="79">
        <v>2</v>
      </c>
      <c r="F15" s="79">
        <v>0</v>
      </c>
      <c r="G15" s="79"/>
    </row>
    <row r="16" spans="1:7" x14ac:dyDescent="0.25">
      <c r="A16" s="12" t="s">
        <v>94</v>
      </c>
      <c r="B16" s="71">
        <v>908.93</v>
      </c>
      <c r="C16" s="71" t="s">
        <v>45</v>
      </c>
      <c r="D16" s="78">
        <v>2</v>
      </c>
      <c r="E16" s="78"/>
      <c r="F16" s="86">
        <v>0</v>
      </c>
      <c r="G16" s="86"/>
    </row>
    <row r="17" spans="1:13" x14ac:dyDescent="0.25">
      <c r="A17" s="13" t="s">
        <v>95</v>
      </c>
      <c r="B17" s="72">
        <v>887.96</v>
      </c>
      <c r="C17" s="72" t="s">
        <v>45</v>
      </c>
      <c r="D17" s="79">
        <v>2</v>
      </c>
      <c r="E17" s="79"/>
      <c r="F17" s="79">
        <v>0</v>
      </c>
      <c r="G17" s="79"/>
    </row>
    <row r="18" spans="1:13" x14ac:dyDescent="0.25">
      <c r="A18" s="12" t="s">
        <v>68</v>
      </c>
      <c r="B18" s="71">
        <v>90.89</v>
      </c>
      <c r="C18" s="71" t="s">
        <v>45</v>
      </c>
      <c r="D18" s="78">
        <v>1</v>
      </c>
      <c r="E18" s="78">
        <v>2</v>
      </c>
      <c r="F18" s="86">
        <v>0</v>
      </c>
      <c r="G18" s="86"/>
    </row>
    <row r="19" spans="1:13" x14ac:dyDescent="0.25">
      <c r="A19" s="13" t="s">
        <v>49</v>
      </c>
      <c r="B19" s="72">
        <v>908.93</v>
      </c>
      <c r="C19" s="72">
        <v>887.96</v>
      </c>
      <c r="D19" s="79">
        <v>1</v>
      </c>
      <c r="E19" s="79">
        <v>2</v>
      </c>
      <c r="F19" s="79">
        <v>0</v>
      </c>
      <c r="G19" s="79"/>
    </row>
    <row r="20" spans="1:13" x14ac:dyDescent="0.25">
      <c r="A20" s="12" t="s">
        <v>70</v>
      </c>
      <c r="B20" s="71">
        <v>887.96</v>
      </c>
      <c r="C20" s="71">
        <v>908.93</v>
      </c>
      <c r="D20" s="78">
        <v>2</v>
      </c>
      <c r="E20" s="78">
        <v>2</v>
      </c>
      <c r="F20" s="87">
        <v>0</v>
      </c>
      <c r="G20" s="87"/>
    </row>
    <row r="21" spans="1:13" x14ac:dyDescent="0.25">
      <c r="A21" s="13" t="s">
        <v>69</v>
      </c>
      <c r="B21" s="72">
        <v>0</v>
      </c>
      <c r="C21" s="72" t="s">
        <v>45</v>
      </c>
      <c r="D21" s="79">
        <v>1</v>
      </c>
      <c r="E21" s="79">
        <v>2</v>
      </c>
      <c r="F21" s="79">
        <v>0</v>
      </c>
      <c r="G21" s="79"/>
    </row>
    <row r="22" spans="1:13" x14ac:dyDescent="0.25">
      <c r="A22" s="12" t="s">
        <v>50</v>
      </c>
      <c r="B22" s="71">
        <v>887.96</v>
      </c>
      <c r="C22" s="71" t="s">
        <v>45</v>
      </c>
      <c r="D22" s="78">
        <v>1</v>
      </c>
      <c r="E22" s="78">
        <v>2</v>
      </c>
      <c r="F22" s="78">
        <v>0</v>
      </c>
      <c r="G22" s="78"/>
    </row>
    <row r="25" spans="1:13" ht="18.75" x14ac:dyDescent="0.3">
      <c r="A25" s="19" t="s">
        <v>74</v>
      </c>
      <c r="B25" s="11"/>
      <c r="C25" s="11"/>
      <c r="D25" s="11"/>
      <c r="E25" s="11"/>
    </row>
    <row r="26" spans="1:13" ht="15.75" x14ac:dyDescent="0.25">
      <c r="A26" s="20"/>
      <c r="B26" s="21" t="s">
        <v>7</v>
      </c>
      <c r="C26" s="21" t="s">
        <v>8</v>
      </c>
      <c r="D26" s="21" t="s">
        <v>9</v>
      </c>
      <c r="E26" s="21" t="s">
        <v>6</v>
      </c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22" t="s">
        <v>75</v>
      </c>
      <c r="B27" s="45">
        <v>0.26750000000000002</v>
      </c>
      <c r="C27" s="45">
        <v>0.26750000000000002</v>
      </c>
      <c r="D27" s="45">
        <v>0.26750000000000002</v>
      </c>
      <c r="E27" s="45">
        <v>0.26750000000000002</v>
      </c>
      <c r="F27" s="65"/>
      <c r="G27" s="65"/>
      <c r="H27" s="65"/>
      <c r="I27" s="65"/>
      <c r="J27" s="65"/>
      <c r="K27" s="65"/>
      <c r="L27" s="65"/>
      <c r="M27" s="65"/>
    </row>
    <row r="28" spans="1:13" x14ac:dyDescent="0.25">
      <c r="A28" s="23" t="s">
        <v>76</v>
      </c>
      <c r="B28" s="68">
        <v>0.31530000000000002</v>
      </c>
      <c r="C28" s="68">
        <v>0.20349999999999999</v>
      </c>
      <c r="D28" s="68">
        <v>0.24160000000000001</v>
      </c>
      <c r="E28" s="68">
        <v>0.32440000000000002</v>
      </c>
      <c r="F28" s="66"/>
      <c r="G28" s="66"/>
      <c r="H28" s="66"/>
      <c r="I28" s="66"/>
      <c r="J28" s="66"/>
      <c r="K28" s="66"/>
      <c r="L28" s="66"/>
      <c r="M28" s="66"/>
    </row>
    <row r="30" spans="1:13" ht="15.75" x14ac:dyDescent="0.25">
      <c r="A30" s="20"/>
      <c r="B30" s="21" t="s">
        <v>13</v>
      </c>
      <c r="C30" s="21" t="s">
        <v>14</v>
      </c>
      <c r="D30" s="21" t="s">
        <v>15</v>
      </c>
      <c r="E30" s="21" t="s">
        <v>16</v>
      </c>
      <c r="F30" s="21" t="s">
        <v>17</v>
      </c>
      <c r="G30" s="21" t="s">
        <v>18</v>
      </c>
      <c r="H30" s="21" t="s">
        <v>19</v>
      </c>
      <c r="I30" s="21" t="s">
        <v>20</v>
      </c>
      <c r="J30" s="21" t="s">
        <v>21</v>
      </c>
      <c r="K30" s="21" t="s">
        <v>22</v>
      </c>
      <c r="L30" s="21" t="s">
        <v>23</v>
      </c>
      <c r="M30" s="21" t="s">
        <v>24</v>
      </c>
    </row>
    <row r="31" spans="1:13" x14ac:dyDescent="0.25">
      <c r="A31" s="22" t="s">
        <v>77</v>
      </c>
      <c r="B31" s="24">
        <v>9.7500000000000003E-2</v>
      </c>
      <c r="C31" s="24">
        <v>9.7500000000000003E-2</v>
      </c>
      <c r="D31" s="24">
        <v>9.7500000000000003E-2</v>
      </c>
      <c r="E31" s="24">
        <v>9.7500000000000003E-2</v>
      </c>
      <c r="F31" s="24">
        <v>9.7500000000000003E-2</v>
      </c>
      <c r="G31" s="24">
        <v>9.7500000000000003E-2</v>
      </c>
      <c r="H31" s="24">
        <v>9.7500000000000003E-2</v>
      </c>
      <c r="I31" s="24">
        <v>9.7500000000000003E-2</v>
      </c>
      <c r="J31" s="24">
        <v>9.7500000000000003E-2</v>
      </c>
      <c r="K31" s="24">
        <v>9.7500000000000003E-2</v>
      </c>
      <c r="L31" s="24">
        <v>9.7500000000000003E-2</v>
      </c>
      <c r="M31" s="24">
        <v>9.7500000000000003E-2</v>
      </c>
    </row>
    <row r="32" spans="1:13" x14ac:dyDescent="0.25">
      <c r="A32" s="23" t="s">
        <v>78</v>
      </c>
      <c r="B32" s="25">
        <v>0.14480000000000001</v>
      </c>
      <c r="C32" s="25">
        <v>9.9699999999999997E-2</v>
      </c>
      <c r="D32" s="25">
        <v>0.1012</v>
      </c>
      <c r="E32" s="25">
        <v>8.43E-2</v>
      </c>
      <c r="F32" s="25">
        <v>6.6600000000000006E-2</v>
      </c>
      <c r="G32" s="25">
        <v>7.1400000000000005E-2</v>
      </c>
      <c r="H32" s="25">
        <v>8.5699999999999998E-2</v>
      </c>
      <c r="I32" s="25">
        <v>8.8599999999999998E-2</v>
      </c>
      <c r="J32" s="25">
        <v>8.9700000000000002E-2</v>
      </c>
      <c r="K32" s="25">
        <v>9.69E-2</v>
      </c>
      <c r="L32" s="25">
        <v>0.1065</v>
      </c>
      <c r="M32" s="25">
        <v>0.15160000000000001</v>
      </c>
    </row>
    <row r="34" spans="1:13" ht="15.75" x14ac:dyDescent="0.25">
      <c r="A34" s="20"/>
      <c r="B34" s="21" t="s">
        <v>13</v>
      </c>
      <c r="C34" s="21" t="s">
        <v>14</v>
      </c>
      <c r="D34" s="21" t="s">
        <v>15</v>
      </c>
      <c r="E34" s="21" t="s">
        <v>16</v>
      </c>
      <c r="F34" s="21" t="s">
        <v>17</v>
      </c>
      <c r="G34" s="21" t="s">
        <v>18</v>
      </c>
      <c r="H34" s="21" t="s">
        <v>19</v>
      </c>
      <c r="I34" s="21" t="s">
        <v>20</v>
      </c>
      <c r="J34" s="21" t="s">
        <v>21</v>
      </c>
      <c r="K34" s="21" t="s">
        <v>22</v>
      </c>
      <c r="L34" s="21" t="s">
        <v>23</v>
      </c>
      <c r="M34" s="21" t="s">
        <v>24</v>
      </c>
    </row>
    <row r="35" spans="1:13" x14ac:dyDescent="0.25">
      <c r="A35" s="22" t="s">
        <v>90</v>
      </c>
      <c r="B35" s="24">
        <v>5.1999999999999998E-3</v>
      </c>
      <c r="C35" s="24">
        <v>5.1999999999999998E-3</v>
      </c>
      <c r="D35" s="24">
        <v>5.1999999999999998E-3</v>
      </c>
      <c r="E35" s="24">
        <v>5.1999999999999998E-3</v>
      </c>
      <c r="F35" s="24">
        <v>5.1999999999999998E-3</v>
      </c>
      <c r="G35" s="24">
        <v>5.1999999999999998E-3</v>
      </c>
      <c r="H35" s="24">
        <v>5.1999999999999998E-3</v>
      </c>
      <c r="I35" s="24">
        <v>5.1999999999999998E-3</v>
      </c>
      <c r="J35" s="24">
        <v>5.1999999999999998E-3</v>
      </c>
      <c r="K35" s="24">
        <v>5.1999999999999998E-3</v>
      </c>
      <c r="L35" s="24">
        <v>5.1999999999999998E-3</v>
      </c>
      <c r="M35" s="24">
        <v>5.1999999999999998E-3</v>
      </c>
    </row>
    <row r="36" spans="1:13" x14ac:dyDescent="0.25">
      <c r="A36" s="23" t="s">
        <v>91</v>
      </c>
      <c r="B36" s="25">
        <v>7.6E-3</v>
      </c>
      <c r="C36" s="25">
        <v>5.7999999999999996E-3</v>
      </c>
      <c r="D36" s="25">
        <v>5.3E-3</v>
      </c>
      <c r="E36" s="25">
        <v>4.5999999999999999E-3</v>
      </c>
      <c r="F36" s="25">
        <v>3.5000000000000001E-3</v>
      </c>
      <c r="G36" s="25">
        <v>3.8999999999999998E-3</v>
      </c>
      <c r="H36" s="25">
        <v>4.4999999999999997E-3</v>
      </c>
      <c r="I36" s="25">
        <v>4.5999999999999999E-3</v>
      </c>
      <c r="J36" s="25">
        <v>4.8999999999999998E-3</v>
      </c>
      <c r="K36" s="25">
        <v>5.1000000000000004E-3</v>
      </c>
      <c r="L36" s="25">
        <v>5.7999999999999996E-3</v>
      </c>
      <c r="M36" s="25">
        <v>7.9000000000000008E-3</v>
      </c>
    </row>
    <row r="38" spans="1:13" ht="15.75" x14ac:dyDescent="0.25">
      <c r="A38" s="20"/>
      <c r="B38" s="21" t="s">
        <v>13</v>
      </c>
      <c r="C38" s="21" t="s">
        <v>14</v>
      </c>
      <c r="D38" s="21" t="s">
        <v>15</v>
      </c>
      <c r="E38" s="21" t="s">
        <v>16</v>
      </c>
      <c r="F38" s="21" t="s">
        <v>17</v>
      </c>
      <c r="G38" s="21" t="s">
        <v>18</v>
      </c>
      <c r="H38" s="21" t="s">
        <v>19</v>
      </c>
      <c r="I38" s="21" t="s">
        <v>20</v>
      </c>
      <c r="J38" s="21" t="s">
        <v>21</v>
      </c>
      <c r="K38" s="21" t="s">
        <v>22</v>
      </c>
      <c r="L38" s="21" t="s">
        <v>23</v>
      </c>
      <c r="M38" s="21" t="s">
        <v>24</v>
      </c>
    </row>
    <row r="39" spans="1:13" x14ac:dyDescent="0.25">
      <c r="A39" s="22" t="s">
        <v>92</v>
      </c>
      <c r="B39" s="46">
        <v>3.4000000000000002E-4</v>
      </c>
      <c r="C39" s="46">
        <v>3.4000000000000002E-4</v>
      </c>
      <c r="D39" s="46">
        <v>3.4000000000000002E-4</v>
      </c>
      <c r="E39" s="46">
        <v>3.4000000000000002E-4</v>
      </c>
      <c r="F39" s="46">
        <v>3.4000000000000002E-4</v>
      </c>
      <c r="G39" s="46">
        <v>3.4000000000000002E-4</v>
      </c>
      <c r="H39" s="46">
        <v>3.4000000000000002E-4</v>
      </c>
      <c r="I39" s="46">
        <v>3.4000000000000002E-4</v>
      </c>
      <c r="J39" s="46">
        <v>3.4000000000000002E-4</v>
      </c>
      <c r="K39" s="46">
        <v>3.4000000000000002E-4</v>
      </c>
      <c r="L39" s="46">
        <v>3.4000000000000002E-4</v>
      </c>
      <c r="M39" s="46">
        <v>3.4000000000000002E-4</v>
      </c>
    </row>
    <row r="40" spans="1:13" x14ac:dyDescent="0.25">
      <c r="A40" s="23" t="s">
        <v>93</v>
      </c>
      <c r="B40" s="67">
        <v>5.1000000000000004E-4</v>
      </c>
      <c r="C40" s="67">
        <v>3.8999999999999999E-4</v>
      </c>
      <c r="D40" s="67">
        <v>3.5E-4</v>
      </c>
      <c r="E40" s="67">
        <v>2.9999999999999997E-4</v>
      </c>
      <c r="F40" s="67">
        <v>2.3000000000000001E-4</v>
      </c>
      <c r="G40" s="67">
        <v>2.5999999999999998E-4</v>
      </c>
      <c r="H40" s="67">
        <v>2.9999999999999997E-4</v>
      </c>
      <c r="I40" s="67">
        <v>3.1E-4</v>
      </c>
      <c r="J40" s="67">
        <v>3.2000000000000003E-4</v>
      </c>
      <c r="K40" s="67">
        <v>3.4000000000000002E-4</v>
      </c>
      <c r="L40" s="67">
        <v>3.8000000000000002E-4</v>
      </c>
      <c r="M40" s="67">
        <v>5.2999999999999998E-4</v>
      </c>
    </row>
  </sheetData>
  <sheetProtection algorithmName="SHA-512" hashValue="BPyaLhhRrE+mfSFEd/Su5BmzCrzmDcjgHFlDCijB/xbyW3jo6zEeJFW/tFgE0ElWjhcmJqZWqgyv82fePxORzw==" saltValue="pYwF1jKzLm0uRMG8necQew==" spinCount="100000" sheet="1" formatRows="0" insertColumns="0" insertRows="0" insertHyperlinks="0" deleteColumns="0" deleteRows="0" selectLockedCells="1" sort="0" autoFilter="0" pivotTables="0" selectUnlockedCells="1"/>
  <mergeCells count="39">
    <mergeCell ref="B3:C3"/>
    <mergeCell ref="D3:E4"/>
    <mergeCell ref="B4:C4"/>
    <mergeCell ref="D6:E6"/>
    <mergeCell ref="A3:A5"/>
    <mergeCell ref="D22:E22"/>
    <mergeCell ref="D20:E20"/>
    <mergeCell ref="D21:E21"/>
    <mergeCell ref="D13:E13"/>
    <mergeCell ref="D18:E18"/>
    <mergeCell ref="D16:E16"/>
    <mergeCell ref="D17:E17"/>
    <mergeCell ref="D14:E14"/>
    <mergeCell ref="D15:E15"/>
    <mergeCell ref="F3:G5"/>
    <mergeCell ref="F6:G6"/>
    <mergeCell ref="F7:G7"/>
    <mergeCell ref="F8:G8"/>
    <mergeCell ref="D19:E19"/>
    <mergeCell ref="D11:E11"/>
    <mergeCell ref="D12:E12"/>
    <mergeCell ref="D9:E9"/>
    <mergeCell ref="D10:E10"/>
    <mergeCell ref="D7:E7"/>
    <mergeCell ref="D8:E8"/>
    <mergeCell ref="F9:G9"/>
    <mergeCell ref="F10:G10"/>
    <mergeCell ref="F11:G11"/>
    <mergeCell ref="F12:G12"/>
    <mergeCell ref="F13:G13"/>
    <mergeCell ref="F14:G14"/>
    <mergeCell ref="F21:G21"/>
    <mergeCell ref="F22:G22"/>
    <mergeCell ref="F16:G16"/>
    <mergeCell ref="F17:G17"/>
    <mergeCell ref="F18:G18"/>
    <mergeCell ref="F19:G19"/>
    <mergeCell ref="F20:G20"/>
    <mergeCell ref="F15:G15"/>
  </mergeCells>
  <pageMargins left="0.7" right="0.7" top="0.75" bottom="0.75" header="0.3" footer="0.3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63"/>
  <sheetViews>
    <sheetView windowProtection="1" workbookViewId="0">
      <selection activeCell="K20" sqref="K20"/>
    </sheetView>
  </sheetViews>
  <sheetFormatPr defaultRowHeight="15" x14ac:dyDescent="0.25"/>
  <cols>
    <col min="2" max="2" width="24.42578125" customWidth="1"/>
    <col min="3" max="3" width="19.140625" bestFit="1" customWidth="1"/>
    <col min="4" max="4" width="18.140625" customWidth="1"/>
    <col min="5" max="5" width="19.28515625" customWidth="1"/>
    <col min="6" max="6" width="18.28515625" customWidth="1"/>
    <col min="7" max="7" width="18" customWidth="1"/>
    <col min="8" max="8" width="17.85546875" customWidth="1"/>
    <col min="9" max="9" width="21.5703125" customWidth="1"/>
    <col min="10" max="10" width="19.140625" bestFit="1" customWidth="1"/>
    <col min="11" max="11" width="18.85546875" customWidth="1"/>
    <col min="12" max="12" width="19.140625" bestFit="1" customWidth="1"/>
    <col min="13" max="14" width="18.7109375" customWidth="1"/>
    <col min="17" max="17" width="9.5703125" customWidth="1"/>
    <col min="18" max="18" width="14.7109375" customWidth="1"/>
    <col min="21" max="21" width="9.7109375" customWidth="1"/>
    <col min="23" max="23" width="11.28515625" customWidth="1"/>
  </cols>
  <sheetData>
    <row r="2" spans="2:23" x14ac:dyDescent="0.25">
      <c r="B2" s="1"/>
      <c r="C2" s="1"/>
      <c r="D2" s="1" t="s">
        <v>54</v>
      </c>
      <c r="E2" s="1" t="s">
        <v>41</v>
      </c>
      <c r="F2" s="1" t="s">
        <v>42</v>
      </c>
      <c r="G2" s="1" t="s">
        <v>96</v>
      </c>
      <c r="H2" s="1" t="s">
        <v>66</v>
      </c>
      <c r="I2" s="49" t="s">
        <v>99</v>
      </c>
      <c r="K2" t="s">
        <v>38</v>
      </c>
      <c r="L2" t="s">
        <v>105</v>
      </c>
      <c r="M2" t="s">
        <v>106</v>
      </c>
      <c r="P2" t="s">
        <v>39</v>
      </c>
      <c r="Q2" t="s">
        <v>105</v>
      </c>
      <c r="R2" t="s">
        <v>106</v>
      </c>
      <c r="S2" t="s">
        <v>40</v>
      </c>
      <c r="T2" t="s">
        <v>105</v>
      </c>
      <c r="U2" t="s">
        <v>106</v>
      </c>
      <c r="W2" t="s">
        <v>83</v>
      </c>
    </row>
    <row r="3" spans="2:23" x14ac:dyDescent="0.25">
      <c r="B3" s="1" t="s">
        <v>46</v>
      </c>
      <c r="C3" s="1">
        <v>908.93</v>
      </c>
      <c r="D3" s="1">
        <v>2</v>
      </c>
      <c r="E3" s="1">
        <f>C15</f>
        <v>90.89</v>
      </c>
      <c r="F3" s="1" t="s">
        <v>43</v>
      </c>
      <c r="G3" s="1">
        <f>C3*(1-0.37958)</f>
        <v>563.91835059999994</v>
      </c>
      <c r="H3" s="1" t="s">
        <v>67</v>
      </c>
      <c r="I3">
        <v>3</v>
      </c>
      <c r="K3" s="30" t="s">
        <v>6</v>
      </c>
      <c r="L3">
        <f>HLOOKUP(K3,$C$26:$F$28,VLOOKUP(Tariff_Calculator!$B$2,$B$3:$D$17,3,0)+1,0)</f>
        <v>0.32440000000000002</v>
      </c>
      <c r="M3">
        <f>HLOOKUP(K3,$C$26:$F$33,VLOOKUP(Tariff_Calculator!$B$2,$B$3:$I$17,8,0)+1,0)</f>
        <v>0.20126424800000001</v>
      </c>
      <c r="P3" s="3" t="s">
        <v>13</v>
      </c>
      <c r="Q3">
        <f>HLOOKUP(P3,$C$35:$N$37,VLOOKUP(Tariff_Calculator!$B$2,$B$3:$D$17,3,0)+1,0)</f>
        <v>0.14480000000000001</v>
      </c>
      <c r="R3">
        <f>HLOOKUP(P3,$C$35:$N$42,VLOOKUP(Tariff_Calculator!$B$2,$B$3:$I$17,8,0)+1,0)</f>
        <v>8.9836816E-2</v>
      </c>
      <c r="S3" s="3" t="s">
        <v>13</v>
      </c>
      <c r="T3">
        <f>HLOOKUP(S3,$C$44:$N$46,VLOOKUP(Tariff_Calculator!$B$2,$B$3:$D$17,3,0)+1,0)</f>
        <v>7.6E-3</v>
      </c>
      <c r="U3">
        <f>HLOOKUP(S3,$C$44:$N$51,VLOOKUP(Tariff_Calculator!$B$2,$B$3:$I$17,8,0)+1,0)</f>
        <v>4.715192E-3</v>
      </c>
      <c r="W3">
        <v>1</v>
      </c>
    </row>
    <row r="4" spans="2:23" x14ac:dyDescent="0.25">
      <c r="B4" s="1" t="s">
        <v>97</v>
      </c>
      <c r="C4" s="1">
        <v>908.93</v>
      </c>
      <c r="D4" s="1">
        <v>2</v>
      </c>
      <c r="E4" s="1">
        <v>0</v>
      </c>
      <c r="F4" s="1" t="s">
        <v>44</v>
      </c>
      <c r="G4" s="1">
        <f t="shared" ref="G4:G11" si="0">C4</f>
        <v>908.93</v>
      </c>
      <c r="H4" s="1" t="s">
        <v>67</v>
      </c>
      <c r="I4">
        <v>7</v>
      </c>
      <c r="K4" s="30" t="s">
        <v>7</v>
      </c>
      <c r="L4">
        <f>HLOOKUP(K4,$C$26:$F$28,VLOOKUP(Tariff_Calculator!$B$2,$B$3:$D$17,3,0)+1,0)</f>
        <v>0.31530000000000002</v>
      </c>
      <c r="M4">
        <f>HLOOKUP(K4,$C$26:$F$33,VLOOKUP(Tariff_Calculator!$B$2,$B$3:$I$17,8,0)+1,0)</f>
        <v>0.19561842600000001</v>
      </c>
      <c r="P4" s="3" t="s">
        <v>14</v>
      </c>
      <c r="Q4">
        <f>HLOOKUP(P4,$C$35:$N$37,VLOOKUP(Tariff_Calculator!$B$2,$B$3:$D$17,3,0)+1,0)</f>
        <v>9.9699999999999997E-2</v>
      </c>
      <c r="R4">
        <f>HLOOKUP(P4,$C$35:$N$42,VLOOKUP(Tariff_Calculator!$B$2,$B$3:$I$17,8,0)+1,0)</f>
        <v>6.1855873999999998E-2</v>
      </c>
      <c r="S4" s="3" t="s">
        <v>14</v>
      </c>
      <c r="T4">
        <f>HLOOKUP(S4,$C$44:$N$46,VLOOKUP(Tariff_Calculator!$B$2,$B$3:$D$17,3,0)+1,0)</f>
        <v>5.7999999999999996E-3</v>
      </c>
      <c r="U4">
        <f>HLOOKUP(S4,$C$44:$N$51,VLOOKUP(Tariff_Calculator!$B$2,$B$3:$I$17,8,0)+1,0)</f>
        <v>3.5984359999999996E-3</v>
      </c>
      <c r="W4">
        <v>2</v>
      </c>
    </row>
    <row r="5" spans="2:23" x14ac:dyDescent="0.25">
      <c r="B5" s="1" t="s">
        <v>98</v>
      </c>
      <c r="C5" s="1">
        <v>887.96</v>
      </c>
      <c r="D5" s="1">
        <v>2</v>
      </c>
      <c r="E5" s="1">
        <v>0</v>
      </c>
      <c r="F5" s="1" t="s">
        <v>44</v>
      </c>
      <c r="G5" s="1">
        <f>C5*(1-0.0332)</f>
        <v>858.47972800000002</v>
      </c>
      <c r="H5" s="1" t="s">
        <v>67</v>
      </c>
      <c r="I5">
        <v>5</v>
      </c>
      <c r="K5" s="30" t="s">
        <v>8</v>
      </c>
      <c r="L5">
        <f>HLOOKUP(K5,$C$26:$F$28,VLOOKUP(Tariff_Calculator!$B$2,$B$3:$D$17,3,0)+1,0)</f>
        <v>0.20349999999999999</v>
      </c>
      <c r="M5">
        <f>HLOOKUP(K5,$C$26:$F$33,VLOOKUP(Tariff_Calculator!$B$2,$B$3:$I$17,8,0)+1,0)</f>
        <v>0.12625546999999998</v>
      </c>
      <c r="P5" s="3" t="s">
        <v>15</v>
      </c>
      <c r="Q5">
        <f>HLOOKUP(P5,$C$35:$N$37,VLOOKUP(Tariff_Calculator!$B$2,$B$3:$D$17,3,0)+1,0)</f>
        <v>0.1012</v>
      </c>
      <c r="R5">
        <f>HLOOKUP(P5,$C$35:$N$42,VLOOKUP(Tariff_Calculator!$B$2,$B$3:$I$17,8,0)+1,0)</f>
        <v>6.2786503999999993E-2</v>
      </c>
      <c r="S5" s="3" t="s">
        <v>15</v>
      </c>
      <c r="T5">
        <f>HLOOKUP(S5,$C$44:$N$46,VLOOKUP(Tariff_Calculator!$B$2,$B$3:$D$17,3,0)+1,0)</f>
        <v>5.3E-3</v>
      </c>
      <c r="U5">
        <f>HLOOKUP(S5,$C$44:$N$51,VLOOKUP(Tariff_Calculator!$B$2,$B$3:$I$17,8,0)+1,0)</f>
        <v>3.288226E-3</v>
      </c>
      <c r="W5">
        <v>3</v>
      </c>
    </row>
    <row r="6" spans="2:23" x14ac:dyDescent="0.25">
      <c r="B6" s="1" t="s">
        <v>52</v>
      </c>
      <c r="C6" s="1">
        <v>908.93</v>
      </c>
      <c r="D6" s="1">
        <v>2</v>
      </c>
      <c r="E6" s="1">
        <v>0</v>
      </c>
      <c r="F6" s="1" t="s">
        <v>44</v>
      </c>
      <c r="G6" s="1">
        <f t="shared" si="0"/>
        <v>908.93</v>
      </c>
      <c r="H6" s="1" t="s">
        <v>67</v>
      </c>
      <c r="I6">
        <v>7</v>
      </c>
      <c r="K6" s="30" t="s">
        <v>9</v>
      </c>
      <c r="L6">
        <f>HLOOKUP(K6,$C$26:$F$28,VLOOKUP(Tariff_Calculator!$B$2,$B$3:$D$17,3,0)+1,0)</f>
        <v>0.24160000000000001</v>
      </c>
      <c r="M6">
        <f>HLOOKUP(K6,$C$26:$F$33,VLOOKUP(Tariff_Calculator!$B$2,$B$3:$I$17,8,0)+1,0)</f>
        <v>0.149893472</v>
      </c>
      <c r="P6" s="3" t="s">
        <v>16</v>
      </c>
      <c r="Q6">
        <f>HLOOKUP(P6,$C$35:$N$37,VLOOKUP(Tariff_Calculator!$B$2,$B$3:$D$17,3,0)+1,0)</f>
        <v>8.43E-2</v>
      </c>
      <c r="R6">
        <f>HLOOKUP(P6,$C$35:$N$42,VLOOKUP(Tariff_Calculator!$B$2,$B$3:$I$17,8,0)+1,0)</f>
        <v>5.2301405999999995E-2</v>
      </c>
      <c r="S6" s="3" t="s">
        <v>16</v>
      </c>
      <c r="T6">
        <f>HLOOKUP(S6,$C$44:$N$46,VLOOKUP(Tariff_Calculator!$B$2,$B$3:$D$17,3,0)+1,0)</f>
        <v>4.5999999999999999E-3</v>
      </c>
      <c r="U6">
        <f>HLOOKUP(S6,$C$44:$N$51,VLOOKUP(Tariff_Calculator!$B$2,$B$3:$I$17,8,0)+1,0)</f>
        <v>2.853932E-3</v>
      </c>
      <c r="W6">
        <v>4</v>
      </c>
    </row>
    <row r="7" spans="2:23" x14ac:dyDescent="0.25">
      <c r="B7" s="1" t="s">
        <v>53</v>
      </c>
      <c r="C7" s="1">
        <v>887.96</v>
      </c>
      <c r="D7" s="1">
        <v>2</v>
      </c>
      <c r="E7" s="1">
        <v>0</v>
      </c>
      <c r="F7" s="1" t="s">
        <v>44</v>
      </c>
      <c r="G7" s="1">
        <f>C7*(1-0.00611)</f>
        <v>882.53456440000014</v>
      </c>
      <c r="H7" s="1" t="s">
        <v>67</v>
      </c>
      <c r="I7" s="53">
        <v>4</v>
      </c>
      <c r="P7" s="3" t="s">
        <v>17</v>
      </c>
      <c r="Q7">
        <f>HLOOKUP(P7,$C$35:$N$37,VLOOKUP(Tariff_Calculator!$B$2,$B$3:$D$17,3,0)+1,0)</f>
        <v>6.6600000000000006E-2</v>
      </c>
      <c r="R7">
        <f>HLOOKUP(P7,$C$35:$N$42,VLOOKUP(Tariff_Calculator!$B$2,$B$3:$I$17,8,0)+1,0)</f>
        <v>4.1319972000000003E-2</v>
      </c>
      <c r="S7" s="3" t="s">
        <v>17</v>
      </c>
      <c r="T7">
        <f>HLOOKUP(S7,$C$44:$N$46,VLOOKUP(Tariff_Calculator!$B$2,$B$3:$D$17,3,0)+1,0)</f>
        <v>3.5000000000000001E-3</v>
      </c>
      <c r="U7">
        <f>HLOOKUP(S7,$C$44:$N$51,VLOOKUP(Tariff_Calculator!$B$2,$B$3:$I$17,8,0)+1,0)</f>
        <v>2.17147E-3</v>
      </c>
      <c r="W7">
        <v>5</v>
      </c>
    </row>
    <row r="8" spans="2:23" x14ac:dyDescent="0.25">
      <c r="B8" s="1" t="s">
        <v>47</v>
      </c>
      <c r="C8" s="1">
        <v>908.93</v>
      </c>
      <c r="D8" s="1">
        <v>2</v>
      </c>
      <c r="E8" s="1">
        <v>0</v>
      </c>
      <c r="F8" s="1" t="s">
        <v>44</v>
      </c>
      <c r="G8" s="1">
        <f t="shared" si="0"/>
        <v>908.93</v>
      </c>
      <c r="H8" s="1" t="s">
        <v>67</v>
      </c>
      <c r="I8">
        <v>7</v>
      </c>
      <c r="P8" s="3" t="s">
        <v>18</v>
      </c>
      <c r="Q8">
        <f>HLOOKUP(P8,$C$35:$N$37,VLOOKUP(Tariff_Calculator!$B$2,$B$3:$D$17,3,0)+1,0)</f>
        <v>7.1400000000000005E-2</v>
      </c>
      <c r="R8">
        <f>HLOOKUP(P8,$C$35:$N$42,VLOOKUP(Tariff_Calculator!$B$2,$B$3:$I$17,8,0)+1,0)</f>
        <v>4.4297988000000003E-2</v>
      </c>
      <c r="S8" s="3" t="s">
        <v>18</v>
      </c>
      <c r="T8">
        <f>HLOOKUP(S8,$C$44:$N$46,VLOOKUP(Tariff_Calculator!$B$2,$B$3:$D$17,3,0)+1,0)</f>
        <v>3.8999999999999998E-3</v>
      </c>
      <c r="U8">
        <f>HLOOKUP(S8,$C$44:$N$51,VLOOKUP(Tariff_Calculator!$B$2,$B$3:$I$17,8,0)+1,0)</f>
        <v>2.4196379999999996E-3</v>
      </c>
      <c r="W8">
        <v>6</v>
      </c>
    </row>
    <row r="9" spans="2:23" x14ac:dyDescent="0.25">
      <c r="B9" s="1" t="s">
        <v>48</v>
      </c>
      <c r="C9" s="1">
        <v>887.96</v>
      </c>
      <c r="D9" s="1">
        <v>2</v>
      </c>
      <c r="E9" s="1">
        <v>0</v>
      </c>
      <c r="F9" s="1" t="s">
        <v>44</v>
      </c>
      <c r="G9" s="1">
        <f t="shared" si="0"/>
        <v>887.96</v>
      </c>
      <c r="H9" s="1" t="s">
        <v>67</v>
      </c>
      <c r="I9">
        <v>7</v>
      </c>
      <c r="P9" s="3" t="s">
        <v>19</v>
      </c>
      <c r="Q9">
        <f>HLOOKUP(P9,$C$35:$N$37,VLOOKUP(Tariff_Calculator!$B$2,$B$3:$D$17,3,0)+1,0)</f>
        <v>8.5699999999999998E-2</v>
      </c>
      <c r="R9">
        <f>HLOOKUP(P9,$C$35:$N$42,VLOOKUP(Tariff_Calculator!$B$2,$B$3:$I$17,8,0)+1,0)</f>
        <v>5.3169993999999998E-2</v>
      </c>
      <c r="S9" s="3" t="s">
        <v>19</v>
      </c>
      <c r="T9">
        <f>HLOOKUP(S9,$C$44:$N$46,VLOOKUP(Tariff_Calculator!$B$2,$B$3:$D$17,3,0)+1,0)</f>
        <v>4.4999999999999997E-3</v>
      </c>
      <c r="U9">
        <f>HLOOKUP(S9,$C$44:$N$51,VLOOKUP(Tariff_Calculator!$B$2,$B$3:$I$17,8,0)+1,0)</f>
        <v>2.7918899999999996E-3</v>
      </c>
      <c r="W9">
        <v>7</v>
      </c>
    </row>
    <row r="10" spans="2:23" x14ac:dyDescent="0.25">
      <c r="B10" s="1" t="s">
        <v>51</v>
      </c>
      <c r="C10" s="1">
        <v>887.96</v>
      </c>
      <c r="D10" s="1">
        <v>2</v>
      </c>
      <c r="E10" s="1">
        <v>0</v>
      </c>
      <c r="F10" s="1" t="s">
        <v>44</v>
      </c>
      <c r="G10" s="1">
        <f t="shared" si="0"/>
        <v>887.96</v>
      </c>
      <c r="H10" s="1" t="s">
        <v>67</v>
      </c>
      <c r="I10">
        <v>7</v>
      </c>
      <c r="P10" s="3" t="s">
        <v>20</v>
      </c>
      <c r="Q10">
        <f>HLOOKUP(P10,$C$35:$N$37,VLOOKUP(Tariff_Calculator!$B$2,$B$3:$D$17,3,0)+1,0)</f>
        <v>8.8599999999999998E-2</v>
      </c>
      <c r="R10">
        <f>HLOOKUP(P10,$C$35:$N$42,VLOOKUP(Tariff_Calculator!$B$2,$B$3:$I$17,8,0)+1,0)</f>
        <v>5.4969211999999996E-2</v>
      </c>
      <c r="S10" s="3" t="s">
        <v>20</v>
      </c>
      <c r="T10">
        <f>HLOOKUP(S10,$C$44:$N$46,VLOOKUP(Tariff_Calculator!$B$2,$B$3:$D$17,3,0)+1,0)</f>
        <v>4.5999999999999999E-3</v>
      </c>
      <c r="U10">
        <f>HLOOKUP(S10,$C$44:$N$51,VLOOKUP(Tariff_Calculator!$B$2,$B$3:$I$17,8,0)+1,0)</f>
        <v>2.853932E-3</v>
      </c>
      <c r="W10">
        <v>8</v>
      </c>
    </row>
    <row r="11" spans="2:23" x14ac:dyDescent="0.25">
      <c r="B11" s="1" t="s">
        <v>122</v>
      </c>
      <c r="C11" s="1">
        <v>908.93</v>
      </c>
      <c r="D11" s="1">
        <v>2</v>
      </c>
      <c r="E11" s="1">
        <v>0</v>
      </c>
      <c r="F11" s="1" t="s">
        <v>44</v>
      </c>
      <c r="G11" s="1">
        <f t="shared" si="0"/>
        <v>908.93</v>
      </c>
      <c r="H11" s="1" t="s">
        <v>67</v>
      </c>
      <c r="I11">
        <v>7</v>
      </c>
      <c r="P11" s="3" t="s">
        <v>21</v>
      </c>
      <c r="Q11">
        <f>HLOOKUP(P11,$C$35:$N$37,VLOOKUP(Tariff_Calculator!$B$2,$B$3:$D$17,3,0)+1,0)</f>
        <v>8.9700000000000002E-2</v>
      </c>
      <c r="R11">
        <f>HLOOKUP(P11,$C$35:$N$42,VLOOKUP(Tariff_Calculator!$B$2,$B$3:$I$17,8,0)+1,0)</f>
        <v>5.5651673999999998E-2</v>
      </c>
      <c r="S11" s="3" t="s">
        <v>21</v>
      </c>
      <c r="T11">
        <f>HLOOKUP(S11,$C$44:$N$46,VLOOKUP(Tariff_Calculator!$B$2,$B$3:$D$17,3,0)+1,0)</f>
        <v>4.8999999999999998E-3</v>
      </c>
      <c r="U11">
        <f>HLOOKUP(S11,$C$44:$N$51,VLOOKUP(Tariff_Calculator!$B$2,$B$3:$I$17,8,0)+1,0)</f>
        <v>3.0400579999999996E-3</v>
      </c>
      <c r="W11">
        <v>9</v>
      </c>
    </row>
    <row r="12" spans="2:23" x14ac:dyDescent="0.25">
      <c r="B12" s="1" t="s">
        <v>125</v>
      </c>
      <c r="C12" s="1">
        <v>887.96</v>
      </c>
      <c r="D12" s="1">
        <v>2</v>
      </c>
      <c r="E12" s="1">
        <v>0</v>
      </c>
      <c r="F12" s="1" t="s">
        <v>44</v>
      </c>
      <c r="G12" s="1">
        <f t="shared" ref="G12:G18" si="1">C12</f>
        <v>887.96</v>
      </c>
      <c r="H12" s="1" t="s">
        <v>126</v>
      </c>
      <c r="I12">
        <v>7</v>
      </c>
      <c r="P12" s="3" t="s">
        <v>22</v>
      </c>
      <c r="Q12">
        <f>HLOOKUP(P12,$C$35:$N$37,VLOOKUP(Tariff_Calculator!$B$2,$B$3:$D$17,3,0)+1,0)</f>
        <v>9.69E-2</v>
      </c>
      <c r="R12">
        <f>HLOOKUP(P12,$C$35:$N$42,VLOOKUP(Tariff_Calculator!$B$2,$B$3:$I$17,8,0)+1,0)</f>
        <v>6.0118697999999998E-2</v>
      </c>
      <c r="S12" s="3" t="s">
        <v>22</v>
      </c>
      <c r="T12">
        <f>HLOOKUP(S12,$C$44:$N$46,VLOOKUP(Tariff_Calculator!$B$2,$B$3:$D$17,3,0)+1,0)</f>
        <v>5.1000000000000004E-3</v>
      </c>
      <c r="U12">
        <f>HLOOKUP(S12,$C$44:$N$51,VLOOKUP(Tariff_Calculator!$B$2,$B$3:$I$17,8,0)+1,0)</f>
        <v>3.164142E-3</v>
      </c>
      <c r="W12">
        <v>10</v>
      </c>
    </row>
    <row r="13" spans="2:23" x14ac:dyDescent="0.25">
      <c r="B13" s="1" t="s">
        <v>94</v>
      </c>
      <c r="C13" s="1">
        <v>908.93</v>
      </c>
      <c r="D13" s="1">
        <v>2</v>
      </c>
      <c r="E13" s="1">
        <v>0</v>
      </c>
      <c r="F13" s="1" t="s">
        <v>44</v>
      </c>
      <c r="G13" s="1">
        <f t="shared" ref="G13:G19" si="2">C13</f>
        <v>908.93</v>
      </c>
      <c r="H13" s="1" t="s">
        <v>67</v>
      </c>
      <c r="I13">
        <v>7</v>
      </c>
      <c r="P13" s="3" t="s">
        <v>23</v>
      </c>
      <c r="Q13">
        <f>HLOOKUP(P13,$C$35:$N$37,VLOOKUP(Tariff_Calculator!$B$2,$B$3:$D$17,3,0)+1,0)</f>
        <v>0.1065</v>
      </c>
      <c r="R13">
        <f>HLOOKUP(P13,$C$35:$N$42,VLOOKUP(Tariff_Calculator!$B$2,$B$3:$I$17,8,0)+1,0)</f>
        <v>6.6074729999999998E-2</v>
      </c>
      <c r="S13" s="3" t="s">
        <v>23</v>
      </c>
      <c r="T13">
        <f>HLOOKUP(S13,$C$44:$N$46,VLOOKUP(Tariff_Calculator!$B$2,$B$3:$D$17,3,0)+1,0)</f>
        <v>5.7999999999999996E-3</v>
      </c>
      <c r="U13">
        <f>HLOOKUP(S13,$C$44:$N$51,VLOOKUP(Tariff_Calculator!$B$2,$B$3:$I$17,8,0)+1,0)</f>
        <v>3.5984359999999996E-3</v>
      </c>
      <c r="W13">
        <v>11</v>
      </c>
    </row>
    <row r="14" spans="2:23" x14ac:dyDescent="0.25">
      <c r="B14" s="1" t="s">
        <v>95</v>
      </c>
      <c r="C14" s="1">
        <v>887.96</v>
      </c>
      <c r="D14" s="1">
        <v>2</v>
      </c>
      <c r="E14" s="1">
        <v>0</v>
      </c>
      <c r="F14" s="1" t="s">
        <v>44</v>
      </c>
      <c r="G14" s="1">
        <f t="shared" si="2"/>
        <v>887.96</v>
      </c>
      <c r="H14" s="1" t="s">
        <v>67</v>
      </c>
      <c r="I14">
        <v>7</v>
      </c>
      <c r="P14" s="3" t="s">
        <v>24</v>
      </c>
      <c r="Q14">
        <f>HLOOKUP(P14,$C$35:$N$37,VLOOKUP(Tariff_Calculator!$B$2,$B$3:$D$17,3,0)+1,0)</f>
        <v>0.15160000000000001</v>
      </c>
      <c r="R14">
        <f>HLOOKUP(P14,$C$35:$N$42,VLOOKUP(Tariff_Calculator!$B$2,$B$3:$I$17,8,0)+1,0)</f>
        <v>9.4055672000000007E-2</v>
      </c>
      <c r="S14" s="3" t="s">
        <v>24</v>
      </c>
      <c r="T14">
        <f>HLOOKUP(S14,$C$44:$N$46,VLOOKUP(Tariff_Calculator!$B$2,$B$3:$D$17,3,0)+1,0)</f>
        <v>7.9000000000000008E-3</v>
      </c>
      <c r="U14">
        <f>HLOOKUP(S14,$C$44:$N$51,VLOOKUP(Tariff_Calculator!$B$2,$B$3:$I$17,8,0)+1,0)</f>
        <v>4.901318E-3</v>
      </c>
      <c r="W14">
        <v>12</v>
      </c>
    </row>
    <row r="15" spans="2:23" x14ac:dyDescent="0.25">
      <c r="B15" s="1" t="s">
        <v>68</v>
      </c>
      <c r="C15" s="1">
        <v>90.89</v>
      </c>
      <c r="D15" s="1">
        <v>1</v>
      </c>
      <c r="E15" s="1">
        <v>0</v>
      </c>
      <c r="F15" s="1" t="s">
        <v>44</v>
      </c>
      <c r="G15" s="1">
        <f t="shared" si="2"/>
        <v>90.89</v>
      </c>
      <c r="H15" s="1" t="s">
        <v>67</v>
      </c>
      <c r="I15">
        <v>6</v>
      </c>
      <c r="W15">
        <v>13</v>
      </c>
    </row>
    <row r="16" spans="2:23" x14ac:dyDescent="0.25">
      <c r="B16" s="1" t="s">
        <v>49</v>
      </c>
      <c r="C16" s="1">
        <v>908.93</v>
      </c>
      <c r="D16" s="1">
        <v>1</v>
      </c>
      <c r="E16" s="1">
        <f>C17</f>
        <v>887.96</v>
      </c>
      <c r="F16" s="1" t="s">
        <v>43</v>
      </c>
      <c r="G16" s="1">
        <f t="shared" si="2"/>
        <v>908.93</v>
      </c>
      <c r="H16" s="1" t="s">
        <v>67</v>
      </c>
      <c r="I16">
        <v>6</v>
      </c>
      <c r="W16">
        <v>14</v>
      </c>
    </row>
    <row r="17" spans="1:23" x14ac:dyDescent="0.25">
      <c r="B17" s="1" t="s">
        <v>70</v>
      </c>
      <c r="C17" s="1">
        <v>887.96</v>
      </c>
      <c r="D17" s="1">
        <v>2</v>
      </c>
      <c r="E17" s="1">
        <f>C16</f>
        <v>908.93</v>
      </c>
      <c r="F17" s="1" t="s">
        <v>43</v>
      </c>
      <c r="G17" s="1">
        <f t="shared" si="2"/>
        <v>887.96</v>
      </c>
      <c r="H17" s="1" t="s">
        <v>67</v>
      </c>
      <c r="I17">
        <v>7</v>
      </c>
      <c r="P17" s="41" t="s">
        <v>88</v>
      </c>
      <c r="W17">
        <v>15</v>
      </c>
    </row>
    <row r="18" spans="1:23" x14ac:dyDescent="0.25">
      <c r="B18" s="1" t="s">
        <v>69</v>
      </c>
      <c r="C18" s="1">
        <v>0</v>
      </c>
      <c r="D18" s="1">
        <v>1</v>
      </c>
      <c r="E18" s="1">
        <v>0</v>
      </c>
      <c r="F18" s="1" t="s">
        <v>44</v>
      </c>
      <c r="G18" s="1">
        <f t="shared" si="2"/>
        <v>0</v>
      </c>
      <c r="H18" s="1" t="s">
        <v>67</v>
      </c>
      <c r="I18">
        <v>6</v>
      </c>
      <c r="P18" s="33" t="s">
        <v>13</v>
      </c>
      <c r="Q18">
        <f>HLOOKUP(P18,$C$56:$N$58,VLOOKUP(Tariff_Calculator!$B$2,$B$3:$D$17,3,0)+1,0)</f>
        <v>5.1000000000000004E-4</v>
      </c>
      <c r="R18" s="61">
        <f>HLOOKUP(P18,$C$56:$N$63,VLOOKUP(Tariff_Calculator!$B$2,$B$3:$I$17,8,0)+1,0)</f>
        <v>3.1641420000000001E-4</v>
      </c>
      <c r="W18">
        <v>16</v>
      </c>
    </row>
    <row r="19" spans="1:23" x14ac:dyDescent="0.25">
      <c r="B19" s="1" t="s">
        <v>50</v>
      </c>
      <c r="C19" s="1">
        <v>887.96</v>
      </c>
      <c r="D19" s="1">
        <v>1</v>
      </c>
      <c r="E19" s="1">
        <v>0</v>
      </c>
      <c r="F19" s="1" t="s">
        <v>44</v>
      </c>
      <c r="G19" s="1">
        <f t="shared" si="2"/>
        <v>887.96</v>
      </c>
      <c r="H19" s="1" t="s">
        <v>67</v>
      </c>
      <c r="I19">
        <v>6</v>
      </c>
      <c r="P19" s="33" t="s">
        <v>14</v>
      </c>
      <c r="Q19">
        <f>HLOOKUP(P19,$C$56:$N$58,VLOOKUP(Tariff_Calculator!$B$2,$B$3:$D$17,3,0)+1,0)</f>
        <v>3.8999999999999999E-4</v>
      </c>
      <c r="R19" s="61">
        <f>HLOOKUP(P19,$C$56:$N$63,VLOOKUP(Tariff_Calculator!$B$2,$B$3:$I$17,8,0)+1,0)</f>
        <v>2.4196379999999999E-4</v>
      </c>
      <c r="W19">
        <v>17</v>
      </c>
    </row>
    <row r="20" spans="1:23" x14ac:dyDescent="0.25">
      <c r="P20" s="33" t="s">
        <v>15</v>
      </c>
      <c r="Q20">
        <f>HLOOKUP(P20,$C$56:$N$58,VLOOKUP(Tariff_Calculator!$B$2,$B$3:$D$17,3,0)+1,0)</f>
        <v>3.5E-4</v>
      </c>
      <c r="R20" s="61">
        <f>HLOOKUP(P20,$C$56:$N$63,VLOOKUP(Tariff_Calculator!$B$2,$B$3:$I$17,8,0)+1,0)</f>
        <v>2.17147E-4</v>
      </c>
      <c r="W20">
        <v>18</v>
      </c>
    </row>
    <row r="21" spans="1:23" x14ac:dyDescent="0.25">
      <c r="P21" s="33" t="s">
        <v>16</v>
      </c>
      <c r="Q21">
        <f>HLOOKUP(P21,$C$56:$N$58,VLOOKUP(Tariff_Calculator!$B$2,$B$3:$D$17,3,0)+1,0)</f>
        <v>2.9999999999999997E-4</v>
      </c>
      <c r="R21" s="61">
        <f>HLOOKUP(P21,$C$56:$N$63,VLOOKUP(Tariff_Calculator!$B$2,$B$3:$I$17,8,0)+1,0)</f>
        <v>1.8612599999999997E-4</v>
      </c>
      <c r="W21">
        <v>19</v>
      </c>
    </row>
    <row r="22" spans="1:23" x14ac:dyDescent="0.25">
      <c r="B22" s="1" t="s">
        <v>25</v>
      </c>
      <c r="C22" s="1" t="s">
        <v>26</v>
      </c>
      <c r="D22" s="1" t="s">
        <v>27</v>
      </c>
      <c r="E22" s="1" t="s">
        <v>28</v>
      </c>
      <c r="F22" s="1" t="s">
        <v>29</v>
      </c>
      <c r="G22" s="1" t="s">
        <v>30</v>
      </c>
      <c r="H22" s="1" t="s">
        <v>31</v>
      </c>
      <c r="I22" s="1" t="s">
        <v>32</v>
      </c>
      <c r="P22" s="33" t="s">
        <v>17</v>
      </c>
      <c r="Q22">
        <f>HLOOKUP(P22,$C$56:$N$58,VLOOKUP(Tariff_Calculator!$B$2,$B$3:$D$17,3,0)+1,0)</f>
        <v>2.3000000000000001E-4</v>
      </c>
      <c r="R22" s="61">
        <f>HLOOKUP(P22,$C$56:$N$63,VLOOKUP(Tariff_Calculator!$B$2,$B$3:$I$17,8,0)+1,0)</f>
        <v>1.4269660000000001E-4</v>
      </c>
      <c r="W22">
        <v>20</v>
      </c>
    </row>
    <row r="23" spans="1:23" x14ac:dyDescent="0.25">
      <c r="B23" s="1"/>
      <c r="C23" s="1">
        <v>739.84</v>
      </c>
      <c r="D23" s="1">
        <v>739.84</v>
      </c>
      <c r="E23" s="1">
        <v>891.31</v>
      </c>
      <c r="F23" s="1">
        <v>891.31</v>
      </c>
      <c r="G23" s="1">
        <v>89.13</v>
      </c>
      <c r="H23" s="1">
        <v>739.84</v>
      </c>
      <c r="I23" s="1">
        <v>739.84</v>
      </c>
      <c r="P23" s="33" t="s">
        <v>18</v>
      </c>
      <c r="Q23">
        <f>HLOOKUP(P23,$C$56:$N$58,VLOOKUP(Tariff_Calculator!$B$2,$B$3:$D$17,3,0)+1,0)</f>
        <v>2.5999999999999998E-4</v>
      </c>
      <c r="R23" s="61">
        <f>HLOOKUP(P23,$C$56:$N$63,VLOOKUP(Tariff_Calculator!$B$2,$B$3:$I$17,8,0)+1,0)</f>
        <v>1.6130919999999998E-4</v>
      </c>
      <c r="W23">
        <v>21</v>
      </c>
    </row>
    <row r="24" spans="1:23" x14ac:dyDescent="0.25">
      <c r="P24" s="33" t="s">
        <v>19</v>
      </c>
      <c r="Q24">
        <f>HLOOKUP(P24,$C$56:$N$58,VLOOKUP(Tariff_Calculator!$B$2,$B$3:$D$17,3,0)+1,0)</f>
        <v>2.9999999999999997E-4</v>
      </c>
      <c r="R24" s="61">
        <f>HLOOKUP(P24,$C$56:$N$63,VLOOKUP(Tariff_Calculator!$B$2,$B$3:$I$17,8,0)+1,0)</f>
        <v>1.8612599999999997E-4</v>
      </c>
      <c r="W24">
        <v>22</v>
      </c>
    </row>
    <row r="25" spans="1:23" x14ac:dyDescent="0.25">
      <c r="B25" t="s">
        <v>33</v>
      </c>
      <c r="C25" s="2"/>
      <c r="D25" s="2"/>
      <c r="E25" s="2"/>
      <c r="F25" s="2"/>
      <c r="P25" s="33" t="s">
        <v>20</v>
      </c>
      <c r="Q25">
        <f>HLOOKUP(P25,$C$56:$N$58,VLOOKUP(Tariff_Calculator!$B$2,$B$3:$D$17,3,0)+1,0)</f>
        <v>3.1E-4</v>
      </c>
      <c r="R25" s="61">
        <f>HLOOKUP(P25,$C$56:$N$63,VLOOKUP(Tariff_Calculator!$B$2,$B$3:$I$17,8,0)+1,0)</f>
        <v>1.9233019999999998E-4</v>
      </c>
      <c r="W25">
        <v>23</v>
      </c>
    </row>
    <row r="26" spans="1:23" x14ac:dyDescent="0.25">
      <c r="B26" s="1"/>
      <c r="C26" s="47" t="s">
        <v>7</v>
      </c>
      <c r="D26" s="47" t="s">
        <v>8</v>
      </c>
      <c r="E26" s="47" t="s">
        <v>9</v>
      </c>
      <c r="F26" s="47" t="s">
        <v>6</v>
      </c>
      <c r="P26" s="33" t="s">
        <v>21</v>
      </c>
      <c r="Q26">
        <f>HLOOKUP(P26,$C$56:$N$58,VLOOKUP(Tariff_Calculator!$B$2,$B$3:$D$17,3,0)+1,0)</f>
        <v>3.2000000000000003E-4</v>
      </c>
      <c r="R26" s="61">
        <f>HLOOKUP(P26,$C$56:$N$63,VLOOKUP(Tariff_Calculator!$B$2,$B$3:$I$17,8,0)+1,0)</f>
        <v>1.9853439999999999E-4</v>
      </c>
      <c r="W26">
        <v>24</v>
      </c>
    </row>
    <row r="27" spans="1:23" x14ac:dyDescent="0.25">
      <c r="B27" s="1" t="s">
        <v>34</v>
      </c>
      <c r="C27" s="39">
        <v>0.26750000000000002</v>
      </c>
      <c r="D27" s="39">
        <v>0.26750000000000002</v>
      </c>
      <c r="E27" s="39">
        <v>0.26750000000000002</v>
      </c>
      <c r="F27" s="39">
        <v>0.26750000000000002</v>
      </c>
      <c r="P27" s="33" t="s">
        <v>22</v>
      </c>
      <c r="Q27">
        <f>HLOOKUP(P27,$C$56:$N$58,VLOOKUP(Tariff_Calculator!$B$2,$B$3:$D$17,3,0)+1,0)</f>
        <v>3.4000000000000002E-4</v>
      </c>
      <c r="R27" s="61">
        <f>HLOOKUP(P27,$C$56:$N$63,VLOOKUP(Tariff_Calculator!$B$2,$B$3:$I$17,8,0)+1,0)</f>
        <v>2.1094280000000002E-4</v>
      </c>
      <c r="W27">
        <v>25</v>
      </c>
    </row>
    <row r="28" spans="1:23" x14ac:dyDescent="0.25">
      <c r="B28" s="1" t="s">
        <v>35</v>
      </c>
      <c r="C28" s="39">
        <v>0.31530000000000002</v>
      </c>
      <c r="D28" s="39">
        <v>0.20349999999999999</v>
      </c>
      <c r="E28" s="39">
        <v>0.24160000000000001</v>
      </c>
      <c r="F28" s="39">
        <v>0.32440000000000002</v>
      </c>
      <c r="P28" s="33" t="s">
        <v>23</v>
      </c>
      <c r="Q28">
        <f>HLOOKUP(P28,$C$56:$N$58,VLOOKUP(Tariff_Calculator!$B$2,$B$3:$D$17,3,0)+1,0)</f>
        <v>3.8000000000000002E-4</v>
      </c>
      <c r="R28" s="61">
        <f>HLOOKUP(P28,$C$56:$N$63,VLOOKUP(Tariff_Calculator!$B$2,$B$3:$I$17,8,0)+1,0)</f>
        <v>2.3575960000000001E-4</v>
      </c>
    </row>
    <row r="29" spans="1:23" x14ac:dyDescent="0.25">
      <c r="A29" s="52">
        <v>0.37957999999999997</v>
      </c>
      <c r="B29" s="38" t="s">
        <v>100</v>
      </c>
      <c r="C29" s="54">
        <f>C28*(1-$A29)</f>
        <v>0.19561842600000001</v>
      </c>
      <c r="D29" s="54">
        <f t="shared" ref="D29:F29" si="3">D28*(1-$A29)</f>
        <v>0.12625546999999998</v>
      </c>
      <c r="E29" s="54">
        <f t="shared" si="3"/>
        <v>0.149893472</v>
      </c>
      <c r="F29" s="54">
        <f t="shared" si="3"/>
        <v>0.20126424800000001</v>
      </c>
      <c r="P29" s="33" t="s">
        <v>24</v>
      </c>
      <c r="Q29">
        <f>HLOOKUP(P29,$C$56:$N$58,VLOOKUP(Tariff_Calculator!$B$2,$B$3:$D$17,3,0)+1,0)</f>
        <v>5.2999999999999998E-4</v>
      </c>
      <c r="R29" s="61">
        <f>HLOOKUP(P29,$C$56:$N$63,VLOOKUP(Tariff_Calculator!$B$2,$B$3:$I$17,8,0)+1,0)</f>
        <v>3.2882259999999998E-4</v>
      </c>
    </row>
    <row r="30" spans="1:23" x14ac:dyDescent="0.25">
      <c r="A30" s="51">
        <v>6.11E-3</v>
      </c>
      <c r="B30" s="38" t="s">
        <v>101</v>
      </c>
      <c r="C30" s="54">
        <f>C28*(1-$A30)</f>
        <v>0.31337351700000005</v>
      </c>
      <c r="D30" s="54">
        <f t="shared" ref="D30:F30" si="4">D28*(1-$A30)</f>
        <v>0.202256615</v>
      </c>
      <c r="E30" s="54">
        <f t="shared" si="4"/>
        <v>0.24012382400000001</v>
      </c>
      <c r="F30" s="54">
        <f t="shared" si="4"/>
        <v>0.32241791600000003</v>
      </c>
    </row>
    <row r="31" spans="1:23" x14ac:dyDescent="0.25">
      <c r="A31" s="52">
        <v>3.32E-2</v>
      </c>
      <c r="B31" s="38" t="s">
        <v>102</v>
      </c>
      <c r="C31" s="54">
        <f>C28*(1-$A31)</f>
        <v>0.30483204000000003</v>
      </c>
      <c r="D31" s="54">
        <f t="shared" ref="D31:F31" si="5">D28*(1-$A31)</f>
        <v>0.1967438</v>
      </c>
      <c r="E31" s="54">
        <f t="shared" si="5"/>
        <v>0.23357888000000002</v>
      </c>
      <c r="F31" s="54">
        <f t="shared" si="5"/>
        <v>0.31362992000000001</v>
      </c>
    </row>
    <row r="32" spans="1:23" x14ac:dyDescent="0.25">
      <c r="B32" s="38" t="s">
        <v>103</v>
      </c>
      <c r="C32" s="39">
        <v>0.26750000000000002</v>
      </c>
      <c r="D32" s="39">
        <v>0.26750000000000002</v>
      </c>
      <c r="E32" s="39">
        <v>0.26750000000000002</v>
      </c>
      <c r="F32" s="39">
        <v>0.26750000000000002</v>
      </c>
    </row>
    <row r="33" spans="1:14" x14ac:dyDescent="0.25">
      <c r="B33" s="38" t="s">
        <v>104</v>
      </c>
      <c r="C33" s="39">
        <v>0.31530000000000002</v>
      </c>
      <c r="D33" s="39">
        <v>0.20349999999999999</v>
      </c>
      <c r="E33" s="39">
        <v>0.24160000000000001</v>
      </c>
      <c r="F33" s="39">
        <v>0.32440000000000002</v>
      </c>
    </row>
    <row r="35" spans="1:14" x14ac:dyDescent="0.25">
      <c r="B35" s="1"/>
      <c r="C35" s="48" t="s">
        <v>13</v>
      </c>
      <c r="D35" s="48" t="s">
        <v>14</v>
      </c>
      <c r="E35" s="48" t="s">
        <v>15</v>
      </c>
      <c r="F35" s="48" t="s">
        <v>16</v>
      </c>
      <c r="G35" s="48" t="s">
        <v>17</v>
      </c>
      <c r="H35" s="48" t="s">
        <v>18</v>
      </c>
      <c r="I35" s="48" t="s">
        <v>19</v>
      </c>
      <c r="J35" s="48" t="s">
        <v>20</v>
      </c>
      <c r="K35" s="48" t="s">
        <v>21</v>
      </c>
      <c r="L35" s="48" t="s">
        <v>22</v>
      </c>
      <c r="M35" s="48" t="s">
        <v>23</v>
      </c>
      <c r="N35" s="48" t="s">
        <v>24</v>
      </c>
    </row>
    <row r="36" spans="1:14" x14ac:dyDescent="0.25">
      <c r="B36" s="1" t="s">
        <v>36</v>
      </c>
      <c r="C36" s="4">
        <v>9.7500000000000003E-2</v>
      </c>
      <c r="D36" s="4">
        <v>9.7500000000000003E-2</v>
      </c>
      <c r="E36" s="4">
        <v>9.7500000000000003E-2</v>
      </c>
      <c r="F36" s="4">
        <v>9.7500000000000003E-2</v>
      </c>
      <c r="G36" s="4">
        <v>9.7500000000000003E-2</v>
      </c>
      <c r="H36" s="4">
        <v>9.7500000000000003E-2</v>
      </c>
      <c r="I36" s="4">
        <v>9.7500000000000003E-2</v>
      </c>
      <c r="J36" s="4">
        <v>9.7500000000000003E-2</v>
      </c>
      <c r="K36" s="4">
        <v>9.7500000000000003E-2</v>
      </c>
      <c r="L36" s="4">
        <v>9.7500000000000003E-2</v>
      </c>
      <c r="M36" s="4">
        <v>9.7500000000000003E-2</v>
      </c>
      <c r="N36" s="4">
        <v>9.7500000000000003E-2</v>
      </c>
    </row>
    <row r="37" spans="1:14" x14ac:dyDescent="0.25">
      <c r="B37" s="1" t="s">
        <v>37</v>
      </c>
      <c r="C37" s="4">
        <v>0.14480000000000001</v>
      </c>
      <c r="D37" s="4">
        <v>9.9699999999999997E-2</v>
      </c>
      <c r="E37" s="4">
        <v>0.1012</v>
      </c>
      <c r="F37" s="4">
        <v>8.43E-2</v>
      </c>
      <c r="G37" s="4">
        <v>6.6600000000000006E-2</v>
      </c>
      <c r="H37" s="4">
        <v>7.1400000000000005E-2</v>
      </c>
      <c r="I37" s="4">
        <v>8.5699999999999998E-2</v>
      </c>
      <c r="J37" s="4">
        <v>8.8599999999999998E-2</v>
      </c>
      <c r="K37" s="4">
        <v>8.9700000000000002E-2</v>
      </c>
      <c r="L37" s="4">
        <v>9.69E-2</v>
      </c>
      <c r="M37" s="4">
        <v>0.1065</v>
      </c>
      <c r="N37" s="4">
        <v>0.15160000000000001</v>
      </c>
    </row>
    <row r="38" spans="1:14" x14ac:dyDescent="0.25">
      <c r="A38" s="52">
        <v>0.37957999999999997</v>
      </c>
      <c r="B38" s="38" t="s">
        <v>107</v>
      </c>
      <c r="C38" s="56">
        <f>C37*(1-$A38)</f>
        <v>8.9836816E-2</v>
      </c>
      <c r="D38" s="56">
        <f>D37*(1-$A38)</f>
        <v>6.1855873999999998E-2</v>
      </c>
      <c r="E38" s="56">
        <f t="shared" ref="E38:N38" si="6">E37*(1-$A38)</f>
        <v>6.2786503999999993E-2</v>
      </c>
      <c r="F38" s="56">
        <f t="shared" si="6"/>
        <v>5.2301405999999995E-2</v>
      </c>
      <c r="G38" s="56">
        <f t="shared" si="6"/>
        <v>4.1319972000000003E-2</v>
      </c>
      <c r="H38" s="56">
        <f t="shared" si="6"/>
        <v>4.4297988000000003E-2</v>
      </c>
      <c r="I38" s="56">
        <f t="shared" si="6"/>
        <v>5.3169993999999998E-2</v>
      </c>
      <c r="J38" s="56">
        <f t="shared" si="6"/>
        <v>5.4969211999999996E-2</v>
      </c>
      <c r="K38" s="56">
        <f t="shared" si="6"/>
        <v>5.5651673999999998E-2</v>
      </c>
      <c r="L38" s="56">
        <f t="shared" si="6"/>
        <v>6.0118697999999998E-2</v>
      </c>
      <c r="M38" s="56">
        <f t="shared" si="6"/>
        <v>6.6074729999999998E-2</v>
      </c>
      <c r="N38" s="56">
        <f t="shared" si="6"/>
        <v>9.4055672000000007E-2</v>
      </c>
    </row>
    <row r="39" spans="1:14" x14ac:dyDescent="0.25">
      <c r="A39" s="51">
        <v>6.11E-3</v>
      </c>
      <c r="B39" s="38" t="s">
        <v>108</v>
      </c>
      <c r="C39" s="56">
        <f>C37*(1-$A39)</f>
        <v>0.14391527200000001</v>
      </c>
      <c r="D39" s="56">
        <f>D37*(1-$A39)</f>
        <v>9.9090833000000003E-2</v>
      </c>
      <c r="E39" s="56">
        <f t="shared" ref="E39:N39" si="7">E37*(1-$A39)</f>
        <v>0.100581668</v>
      </c>
      <c r="F39" s="56">
        <f t="shared" si="7"/>
        <v>8.3784927000000009E-2</v>
      </c>
      <c r="G39" s="56">
        <f t="shared" si="7"/>
        <v>6.6193074000000005E-2</v>
      </c>
      <c r="H39" s="56">
        <f t="shared" si="7"/>
        <v>7.0963746000000008E-2</v>
      </c>
      <c r="I39" s="56">
        <f t="shared" si="7"/>
        <v>8.5176373E-2</v>
      </c>
      <c r="J39" s="56">
        <f t="shared" si="7"/>
        <v>8.8058654E-2</v>
      </c>
      <c r="K39" s="56">
        <f t="shared" si="7"/>
        <v>8.9151933000000003E-2</v>
      </c>
      <c r="L39" s="56">
        <f t="shared" si="7"/>
        <v>9.6307941000000008E-2</v>
      </c>
      <c r="M39" s="56">
        <f t="shared" si="7"/>
        <v>0.105849285</v>
      </c>
      <c r="N39" s="56">
        <f t="shared" si="7"/>
        <v>0.15067372400000001</v>
      </c>
    </row>
    <row r="40" spans="1:14" x14ac:dyDescent="0.25">
      <c r="A40" s="52">
        <v>3.32E-2</v>
      </c>
      <c r="B40" s="38" t="s">
        <v>109</v>
      </c>
      <c r="C40" s="56">
        <f>C37*(1-$A40)</f>
        <v>0.13999264</v>
      </c>
      <c r="D40" s="56">
        <f t="shared" ref="D40:N40" si="8">D37*(1-$A40)</f>
        <v>9.6389959999999997E-2</v>
      </c>
      <c r="E40" s="56">
        <f t="shared" si="8"/>
        <v>9.7840159999999995E-2</v>
      </c>
      <c r="F40" s="56">
        <f t="shared" si="8"/>
        <v>8.1501240000000003E-2</v>
      </c>
      <c r="G40" s="56">
        <f t="shared" si="8"/>
        <v>6.4388880000000009E-2</v>
      </c>
      <c r="H40" s="56">
        <f t="shared" si="8"/>
        <v>6.9029520000000011E-2</v>
      </c>
      <c r="I40" s="56">
        <f t="shared" si="8"/>
        <v>8.285476E-2</v>
      </c>
      <c r="J40" s="56">
        <f t="shared" si="8"/>
        <v>8.5658479999999995E-2</v>
      </c>
      <c r="K40" s="56">
        <f t="shared" si="8"/>
        <v>8.6721960000000001E-2</v>
      </c>
      <c r="L40" s="56">
        <f t="shared" si="8"/>
        <v>9.3682920000000003E-2</v>
      </c>
      <c r="M40" s="56">
        <f t="shared" si="8"/>
        <v>0.10296419999999999</v>
      </c>
      <c r="N40" s="56">
        <f t="shared" si="8"/>
        <v>0.14656688000000001</v>
      </c>
    </row>
    <row r="41" spans="1:14" x14ac:dyDescent="0.25">
      <c r="B41" s="38" t="s">
        <v>110</v>
      </c>
      <c r="C41" s="4">
        <v>9.7500000000000003E-2</v>
      </c>
      <c r="D41" s="4">
        <v>9.7500000000000003E-2</v>
      </c>
      <c r="E41" s="4">
        <v>9.7500000000000003E-2</v>
      </c>
      <c r="F41" s="4">
        <v>9.7500000000000003E-2</v>
      </c>
      <c r="G41" s="4">
        <v>9.7500000000000003E-2</v>
      </c>
      <c r="H41" s="4">
        <v>9.7500000000000003E-2</v>
      </c>
      <c r="I41" s="4">
        <v>9.7500000000000003E-2</v>
      </c>
      <c r="J41" s="4">
        <v>9.7500000000000003E-2</v>
      </c>
      <c r="K41" s="4">
        <v>9.7500000000000003E-2</v>
      </c>
      <c r="L41" s="4">
        <v>9.7500000000000003E-2</v>
      </c>
      <c r="M41" s="4">
        <v>9.7500000000000003E-2</v>
      </c>
      <c r="N41" s="4">
        <v>9.7500000000000003E-2</v>
      </c>
    </row>
    <row r="42" spans="1:14" x14ac:dyDescent="0.25">
      <c r="B42" s="38" t="s">
        <v>111</v>
      </c>
      <c r="C42" s="4">
        <v>0.14480000000000001</v>
      </c>
      <c r="D42" s="4">
        <v>9.9699999999999997E-2</v>
      </c>
      <c r="E42" s="4">
        <v>0.1012</v>
      </c>
      <c r="F42" s="4">
        <v>8.43E-2</v>
      </c>
      <c r="G42" s="4">
        <v>6.6600000000000006E-2</v>
      </c>
      <c r="H42" s="4">
        <v>7.1400000000000005E-2</v>
      </c>
      <c r="I42" s="4">
        <v>8.5699999999999998E-2</v>
      </c>
      <c r="J42" s="4">
        <v>8.8599999999999998E-2</v>
      </c>
      <c r="K42" s="4">
        <v>8.9700000000000002E-2</v>
      </c>
      <c r="L42" s="4">
        <v>9.69E-2</v>
      </c>
      <c r="M42" s="4">
        <v>0.1065</v>
      </c>
      <c r="N42" s="4">
        <v>0.15160000000000001</v>
      </c>
    </row>
    <row r="44" spans="1:14" x14ac:dyDescent="0.25">
      <c r="B44" s="1"/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20</v>
      </c>
      <c r="K44" s="3" t="s">
        <v>21</v>
      </c>
      <c r="L44" s="3" t="s">
        <v>22</v>
      </c>
      <c r="M44" s="3" t="s">
        <v>23</v>
      </c>
      <c r="N44" s="3" t="s">
        <v>24</v>
      </c>
    </row>
    <row r="45" spans="1:14" x14ac:dyDescent="0.25">
      <c r="B45" s="1" t="s">
        <v>85</v>
      </c>
      <c r="C45" s="4">
        <v>5.1999999999999998E-3</v>
      </c>
      <c r="D45" s="4">
        <v>5.1999999999999998E-3</v>
      </c>
      <c r="E45" s="4">
        <v>5.1999999999999998E-3</v>
      </c>
      <c r="F45" s="4">
        <v>5.1999999999999998E-3</v>
      </c>
      <c r="G45" s="4">
        <v>5.1999999999999998E-3</v>
      </c>
      <c r="H45" s="4">
        <v>5.1999999999999998E-3</v>
      </c>
      <c r="I45" s="4">
        <v>5.1999999999999998E-3</v>
      </c>
      <c r="J45" s="4">
        <v>5.1999999999999998E-3</v>
      </c>
      <c r="K45" s="4">
        <v>5.1999999999999998E-3</v>
      </c>
      <c r="L45" s="4">
        <v>5.1999999999999998E-3</v>
      </c>
      <c r="M45" s="4">
        <v>5.1999999999999998E-3</v>
      </c>
      <c r="N45" s="4">
        <v>5.1999999999999998E-3</v>
      </c>
    </row>
    <row r="46" spans="1:14" x14ac:dyDescent="0.25">
      <c r="B46" s="1" t="s">
        <v>86</v>
      </c>
      <c r="C46" s="4">
        <v>7.6E-3</v>
      </c>
      <c r="D46" s="4">
        <v>5.7999999999999996E-3</v>
      </c>
      <c r="E46" s="4">
        <v>5.3E-3</v>
      </c>
      <c r="F46" s="4">
        <v>4.5999999999999999E-3</v>
      </c>
      <c r="G46" s="4">
        <v>3.5000000000000001E-3</v>
      </c>
      <c r="H46" s="4">
        <v>3.8999999999999998E-3</v>
      </c>
      <c r="I46" s="4">
        <v>4.4999999999999997E-3</v>
      </c>
      <c r="J46" s="4">
        <v>4.5999999999999999E-3</v>
      </c>
      <c r="K46" s="4">
        <v>4.8999999999999998E-3</v>
      </c>
      <c r="L46" s="4">
        <v>5.1000000000000004E-3</v>
      </c>
      <c r="M46" s="4">
        <v>5.7999999999999996E-3</v>
      </c>
      <c r="N46" s="4">
        <v>7.9000000000000008E-3</v>
      </c>
    </row>
    <row r="47" spans="1:14" x14ac:dyDescent="0.25">
      <c r="A47" s="52">
        <v>0.37957999999999997</v>
      </c>
      <c r="B47" s="38" t="s">
        <v>112</v>
      </c>
      <c r="C47" s="59">
        <f>C46*(1-$A47)</f>
        <v>4.715192E-3</v>
      </c>
      <c r="D47" s="59">
        <f>D46*(1-$A47)</f>
        <v>3.5984359999999996E-3</v>
      </c>
      <c r="E47" s="59">
        <f t="shared" ref="E47:N47" si="9">E46*(1-$A47)</f>
        <v>3.288226E-3</v>
      </c>
      <c r="F47" s="59">
        <f t="shared" si="9"/>
        <v>2.853932E-3</v>
      </c>
      <c r="G47" s="59">
        <f t="shared" si="9"/>
        <v>2.17147E-3</v>
      </c>
      <c r="H47" s="59">
        <f t="shared" si="9"/>
        <v>2.4196379999999996E-3</v>
      </c>
      <c r="I47" s="59">
        <f t="shared" si="9"/>
        <v>2.7918899999999996E-3</v>
      </c>
      <c r="J47" s="59">
        <f t="shared" si="9"/>
        <v>2.853932E-3</v>
      </c>
      <c r="K47" s="59">
        <f t="shared" si="9"/>
        <v>3.0400579999999996E-3</v>
      </c>
      <c r="L47" s="59">
        <f t="shared" si="9"/>
        <v>3.164142E-3</v>
      </c>
      <c r="M47" s="59">
        <f t="shared" si="9"/>
        <v>3.5984359999999996E-3</v>
      </c>
      <c r="N47" s="59">
        <f t="shared" si="9"/>
        <v>4.901318E-3</v>
      </c>
    </row>
    <row r="48" spans="1:14" x14ac:dyDescent="0.25">
      <c r="A48" s="51">
        <v>6.11E-3</v>
      </c>
      <c r="B48" s="38" t="s">
        <v>113</v>
      </c>
      <c r="C48" s="59">
        <f>C46*(1-$A48)</f>
        <v>7.5535640000000005E-3</v>
      </c>
      <c r="D48" s="59">
        <f t="shared" ref="D48:N48" si="10">D46*(1-$A48)</f>
        <v>5.764562E-3</v>
      </c>
      <c r="E48" s="59">
        <f t="shared" si="10"/>
        <v>5.2676170000000005E-3</v>
      </c>
      <c r="F48" s="59">
        <f t="shared" si="10"/>
        <v>4.571894E-3</v>
      </c>
      <c r="G48" s="59">
        <f t="shared" si="10"/>
        <v>3.4786150000000004E-3</v>
      </c>
      <c r="H48" s="59">
        <f t="shared" si="10"/>
        <v>3.8761709999999999E-3</v>
      </c>
      <c r="I48" s="59">
        <f t="shared" si="10"/>
        <v>4.4725049999999999E-3</v>
      </c>
      <c r="J48" s="59">
        <f t="shared" si="10"/>
        <v>4.571894E-3</v>
      </c>
      <c r="K48" s="59">
        <f t="shared" si="10"/>
        <v>4.8700610000000002E-3</v>
      </c>
      <c r="L48" s="59">
        <f t="shared" si="10"/>
        <v>5.0688390000000003E-3</v>
      </c>
      <c r="M48" s="59">
        <f t="shared" si="10"/>
        <v>5.764562E-3</v>
      </c>
      <c r="N48" s="59">
        <f t="shared" si="10"/>
        <v>7.8517310000000007E-3</v>
      </c>
    </row>
    <row r="49" spans="1:14" x14ac:dyDescent="0.25">
      <c r="A49" s="52">
        <v>3.32E-2</v>
      </c>
      <c r="B49" s="38" t="s">
        <v>114</v>
      </c>
      <c r="C49" s="59">
        <f>C46*(1-$A49)</f>
        <v>7.3476799999999997E-3</v>
      </c>
      <c r="D49" s="59">
        <f t="shared" ref="D49:N49" si="11">D46*(1-$A49)</f>
        <v>5.60744E-3</v>
      </c>
      <c r="E49" s="59">
        <f t="shared" si="11"/>
        <v>5.1240399999999998E-3</v>
      </c>
      <c r="F49" s="59">
        <f t="shared" si="11"/>
        <v>4.4472799999999996E-3</v>
      </c>
      <c r="G49" s="59">
        <f t="shared" si="11"/>
        <v>3.3838000000000002E-3</v>
      </c>
      <c r="H49" s="59">
        <f t="shared" si="11"/>
        <v>3.7705199999999999E-3</v>
      </c>
      <c r="I49" s="59">
        <f t="shared" si="11"/>
        <v>4.3505999999999996E-3</v>
      </c>
      <c r="J49" s="59">
        <f t="shared" si="11"/>
        <v>4.4472799999999996E-3</v>
      </c>
      <c r="K49" s="59">
        <f t="shared" si="11"/>
        <v>4.7373199999999997E-3</v>
      </c>
      <c r="L49" s="59">
        <f t="shared" si="11"/>
        <v>4.9306800000000007E-3</v>
      </c>
      <c r="M49" s="59">
        <f t="shared" si="11"/>
        <v>5.60744E-3</v>
      </c>
      <c r="N49" s="59">
        <f t="shared" si="11"/>
        <v>7.6377200000000006E-3</v>
      </c>
    </row>
    <row r="50" spans="1:14" x14ac:dyDescent="0.25">
      <c r="B50" s="38" t="s">
        <v>116</v>
      </c>
      <c r="C50" s="4">
        <v>5.1999999999999998E-3</v>
      </c>
      <c r="D50" s="4">
        <v>5.1999999999999998E-3</v>
      </c>
      <c r="E50" s="4">
        <v>5.1999999999999998E-3</v>
      </c>
      <c r="F50" s="4">
        <v>5.1999999999999998E-3</v>
      </c>
      <c r="G50" s="4">
        <v>5.1999999999999998E-3</v>
      </c>
      <c r="H50" s="4">
        <v>5.1999999999999998E-3</v>
      </c>
      <c r="I50" s="4">
        <v>5.1999999999999998E-3</v>
      </c>
      <c r="J50" s="4">
        <v>5.1999999999999998E-3</v>
      </c>
      <c r="K50" s="4">
        <v>5.1999999999999998E-3</v>
      </c>
      <c r="L50" s="4">
        <v>5.1999999999999998E-3</v>
      </c>
      <c r="M50" s="4">
        <v>5.1999999999999998E-3</v>
      </c>
      <c r="N50" s="4">
        <v>5.1999999999999998E-3</v>
      </c>
    </row>
    <row r="51" spans="1:14" x14ac:dyDescent="0.25">
      <c r="B51" s="38" t="s">
        <v>115</v>
      </c>
      <c r="C51" s="4">
        <v>7.6E-3</v>
      </c>
      <c r="D51" s="4">
        <v>5.7999999999999996E-3</v>
      </c>
      <c r="E51" s="4">
        <v>5.3E-3</v>
      </c>
      <c r="F51" s="4">
        <v>4.5999999999999999E-3</v>
      </c>
      <c r="G51" s="4">
        <v>3.5000000000000001E-3</v>
      </c>
      <c r="H51" s="4">
        <v>3.8999999999999998E-3</v>
      </c>
      <c r="I51" s="4">
        <v>4.4999999999999997E-3</v>
      </c>
      <c r="J51" s="4">
        <v>4.5999999999999999E-3</v>
      </c>
      <c r="K51" s="4">
        <v>4.8999999999999998E-3</v>
      </c>
      <c r="L51" s="4">
        <v>5.1000000000000004E-3</v>
      </c>
      <c r="M51" s="4">
        <v>5.7999999999999996E-3</v>
      </c>
      <c r="N51" s="4">
        <v>7.9000000000000008E-3</v>
      </c>
    </row>
    <row r="52" spans="1:14" x14ac:dyDescent="0.25">
      <c r="B52" s="55"/>
      <c r="C52" s="57"/>
      <c r="D52" s="57"/>
      <c r="E52" s="58"/>
      <c r="F52" s="58"/>
      <c r="G52" s="58"/>
      <c r="H52" s="58"/>
      <c r="I52" s="58"/>
      <c r="J52" s="58"/>
      <c r="K52" s="58"/>
      <c r="L52" s="58"/>
      <c r="M52" s="58"/>
      <c r="N52" s="58"/>
    </row>
    <row r="53" spans="1:14" x14ac:dyDescent="0.25">
      <c r="C53" s="37" t="s">
        <v>43</v>
      </c>
      <c r="D53" s="37" t="s">
        <v>44</v>
      </c>
    </row>
    <row r="54" spans="1:14" x14ac:dyDescent="0.25">
      <c r="C54" s="4">
        <v>1</v>
      </c>
      <c r="D54" s="4" t="s">
        <v>45</v>
      </c>
    </row>
    <row r="56" spans="1:14" x14ac:dyDescent="0.25">
      <c r="C56" s="33" t="s">
        <v>13</v>
      </c>
      <c r="D56" s="33" t="s">
        <v>14</v>
      </c>
      <c r="E56" s="33" t="s">
        <v>15</v>
      </c>
      <c r="F56" s="33" t="s">
        <v>16</v>
      </c>
      <c r="G56" s="33" t="s">
        <v>17</v>
      </c>
      <c r="H56" s="33" t="s">
        <v>18</v>
      </c>
      <c r="I56" s="33" t="s">
        <v>19</v>
      </c>
      <c r="J56" s="33" t="s">
        <v>20</v>
      </c>
      <c r="K56" s="33" t="s">
        <v>21</v>
      </c>
      <c r="L56" s="33" t="s">
        <v>22</v>
      </c>
      <c r="M56" s="33" t="s">
        <v>23</v>
      </c>
      <c r="N56" s="33" t="s">
        <v>24</v>
      </c>
    </row>
    <row r="57" spans="1:14" x14ac:dyDescent="0.25">
      <c r="B57" s="38" t="s">
        <v>84</v>
      </c>
      <c r="C57" s="40">
        <v>3.4000000000000002E-4</v>
      </c>
      <c r="D57" s="40">
        <v>3.4000000000000002E-4</v>
      </c>
      <c r="E57" s="40">
        <v>3.4000000000000002E-4</v>
      </c>
      <c r="F57" s="40">
        <v>3.4000000000000002E-4</v>
      </c>
      <c r="G57" s="40">
        <v>3.4000000000000002E-4</v>
      </c>
      <c r="H57" s="40">
        <v>3.4000000000000002E-4</v>
      </c>
      <c r="I57" s="40">
        <v>3.4000000000000002E-4</v>
      </c>
      <c r="J57" s="40">
        <v>3.4000000000000002E-4</v>
      </c>
      <c r="K57" s="40">
        <v>3.4000000000000002E-4</v>
      </c>
      <c r="L57" s="40">
        <v>3.4000000000000002E-4</v>
      </c>
      <c r="M57" s="40">
        <v>3.4000000000000002E-4</v>
      </c>
      <c r="N57" s="40">
        <v>3.4000000000000002E-4</v>
      </c>
    </row>
    <row r="58" spans="1:14" x14ac:dyDescent="0.25">
      <c r="B58" s="38" t="s">
        <v>87</v>
      </c>
      <c r="C58" s="50">
        <v>5.1000000000000004E-4</v>
      </c>
      <c r="D58" s="50">
        <v>3.8999999999999999E-4</v>
      </c>
      <c r="E58" s="50">
        <v>3.5E-4</v>
      </c>
      <c r="F58" s="50">
        <v>2.9999999999999997E-4</v>
      </c>
      <c r="G58" s="50">
        <v>2.3000000000000001E-4</v>
      </c>
      <c r="H58" s="50">
        <v>2.5999999999999998E-4</v>
      </c>
      <c r="I58" s="50">
        <v>2.9999999999999997E-4</v>
      </c>
      <c r="J58" s="50">
        <v>3.1E-4</v>
      </c>
      <c r="K58" s="50">
        <v>3.2000000000000003E-4</v>
      </c>
      <c r="L58" s="50">
        <v>3.4000000000000002E-4</v>
      </c>
      <c r="M58" s="50">
        <v>3.8000000000000002E-4</v>
      </c>
      <c r="N58" s="50">
        <v>5.2999999999999998E-4</v>
      </c>
    </row>
    <row r="59" spans="1:14" x14ac:dyDescent="0.25">
      <c r="A59" s="52">
        <v>0.37957999999999997</v>
      </c>
      <c r="B59" s="38" t="s">
        <v>117</v>
      </c>
      <c r="C59" s="60">
        <f>C58*(1-$A59)</f>
        <v>3.1641420000000001E-4</v>
      </c>
      <c r="D59" s="60">
        <f t="shared" ref="D59:N59" si="12">D58*(1-$A59)</f>
        <v>2.4196379999999999E-4</v>
      </c>
      <c r="E59" s="60">
        <f t="shared" si="12"/>
        <v>2.17147E-4</v>
      </c>
      <c r="F59" s="60">
        <f t="shared" si="12"/>
        <v>1.8612599999999997E-4</v>
      </c>
      <c r="G59" s="60">
        <f t="shared" si="12"/>
        <v>1.4269660000000001E-4</v>
      </c>
      <c r="H59" s="60">
        <f t="shared" si="12"/>
        <v>1.6130919999999998E-4</v>
      </c>
      <c r="I59" s="60">
        <f t="shared" si="12"/>
        <v>1.8612599999999997E-4</v>
      </c>
      <c r="J59" s="60">
        <f t="shared" si="12"/>
        <v>1.9233019999999998E-4</v>
      </c>
      <c r="K59" s="60">
        <f t="shared" si="12"/>
        <v>1.9853439999999999E-4</v>
      </c>
      <c r="L59" s="60">
        <f t="shared" si="12"/>
        <v>2.1094280000000002E-4</v>
      </c>
      <c r="M59" s="60">
        <f t="shared" si="12"/>
        <v>2.3575960000000001E-4</v>
      </c>
      <c r="N59" s="60">
        <f t="shared" si="12"/>
        <v>3.2882259999999998E-4</v>
      </c>
    </row>
    <row r="60" spans="1:14" x14ac:dyDescent="0.25">
      <c r="A60" s="51">
        <v>6.11E-3</v>
      </c>
      <c r="B60" s="38" t="s">
        <v>118</v>
      </c>
      <c r="C60" s="60">
        <f>C58*(1-$A60)</f>
        <v>5.0688390000000005E-4</v>
      </c>
      <c r="D60" s="60">
        <f t="shared" ref="D60:N60" si="13">D58*(1-$A60)</f>
        <v>3.8761710000000002E-4</v>
      </c>
      <c r="E60" s="60">
        <f t="shared" si="13"/>
        <v>3.4786149999999999E-4</v>
      </c>
      <c r="F60" s="60">
        <f t="shared" si="13"/>
        <v>2.9816700000000001E-4</v>
      </c>
      <c r="G60" s="60">
        <f t="shared" si="13"/>
        <v>2.2859470000000001E-4</v>
      </c>
      <c r="H60" s="60">
        <f t="shared" si="13"/>
        <v>2.5841139999999998E-4</v>
      </c>
      <c r="I60" s="60">
        <f t="shared" si="13"/>
        <v>2.9816700000000001E-4</v>
      </c>
      <c r="J60" s="60">
        <f t="shared" si="13"/>
        <v>3.0810590000000001E-4</v>
      </c>
      <c r="K60" s="60">
        <f t="shared" si="13"/>
        <v>3.1804480000000002E-4</v>
      </c>
      <c r="L60" s="60">
        <f t="shared" si="13"/>
        <v>3.3792260000000004E-4</v>
      </c>
      <c r="M60" s="60">
        <f t="shared" si="13"/>
        <v>3.7767820000000007E-4</v>
      </c>
      <c r="N60" s="60">
        <f t="shared" si="13"/>
        <v>5.2676169999999996E-4</v>
      </c>
    </row>
    <row r="61" spans="1:14" x14ac:dyDescent="0.25">
      <c r="A61" s="52">
        <v>3.32E-2</v>
      </c>
      <c r="B61" s="38" t="s">
        <v>119</v>
      </c>
      <c r="C61" s="60">
        <f>C58*(1-$A61)</f>
        <v>4.9306800000000004E-4</v>
      </c>
      <c r="D61" s="60">
        <f t="shared" ref="D61:N61" si="14">D58*(1-$A61)</f>
        <v>3.7705200000000001E-4</v>
      </c>
      <c r="E61" s="60">
        <f t="shared" si="14"/>
        <v>3.3838E-4</v>
      </c>
      <c r="F61" s="60">
        <f t="shared" si="14"/>
        <v>2.9003999999999998E-4</v>
      </c>
      <c r="G61" s="60">
        <f t="shared" si="14"/>
        <v>2.2236400000000001E-4</v>
      </c>
      <c r="H61" s="60">
        <f t="shared" si="14"/>
        <v>2.5136799999999997E-4</v>
      </c>
      <c r="I61" s="60">
        <f t="shared" si="14"/>
        <v>2.9003999999999998E-4</v>
      </c>
      <c r="J61" s="60">
        <f t="shared" si="14"/>
        <v>2.9970799999999998E-4</v>
      </c>
      <c r="K61" s="60">
        <f t="shared" si="14"/>
        <v>3.0937600000000004E-4</v>
      </c>
      <c r="L61" s="60">
        <f t="shared" si="14"/>
        <v>3.2871200000000005E-4</v>
      </c>
      <c r="M61" s="60">
        <f t="shared" si="14"/>
        <v>3.67384E-4</v>
      </c>
      <c r="N61" s="60">
        <f t="shared" si="14"/>
        <v>5.1240399999999994E-4</v>
      </c>
    </row>
    <row r="62" spans="1:14" x14ac:dyDescent="0.25">
      <c r="B62" s="38" t="s">
        <v>120</v>
      </c>
      <c r="C62" s="40">
        <v>3.4000000000000002E-4</v>
      </c>
      <c r="D62" s="40">
        <v>3.4000000000000002E-4</v>
      </c>
      <c r="E62" s="40">
        <v>3.4000000000000002E-4</v>
      </c>
      <c r="F62" s="40">
        <v>3.4000000000000002E-4</v>
      </c>
      <c r="G62" s="40">
        <v>3.4000000000000002E-4</v>
      </c>
      <c r="H62" s="40">
        <v>3.4000000000000002E-4</v>
      </c>
      <c r="I62" s="40">
        <v>3.4000000000000002E-4</v>
      </c>
      <c r="J62" s="40">
        <v>3.4000000000000002E-4</v>
      </c>
      <c r="K62" s="40">
        <v>3.4000000000000002E-4</v>
      </c>
      <c r="L62" s="40">
        <v>3.4000000000000002E-4</v>
      </c>
      <c r="M62" s="40">
        <v>3.4000000000000002E-4</v>
      </c>
      <c r="N62" s="40">
        <v>3.4000000000000002E-4</v>
      </c>
    </row>
    <row r="63" spans="1:14" x14ac:dyDescent="0.25">
      <c r="B63" s="38" t="s">
        <v>121</v>
      </c>
      <c r="C63" s="50">
        <v>5.1000000000000004E-4</v>
      </c>
      <c r="D63" s="50">
        <v>3.8999999999999999E-4</v>
      </c>
      <c r="E63" s="50">
        <v>3.5E-4</v>
      </c>
      <c r="F63" s="50">
        <v>2.9999999999999997E-4</v>
      </c>
      <c r="G63" s="50">
        <v>2.3000000000000001E-4</v>
      </c>
      <c r="H63" s="50">
        <v>2.5999999999999998E-4</v>
      </c>
      <c r="I63" s="50">
        <v>2.9999999999999997E-4</v>
      </c>
      <c r="J63" s="50">
        <v>3.1E-4</v>
      </c>
      <c r="K63" s="50">
        <v>3.2000000000000003E-4</v>
      </c>
      <c r="L63" s="50">
        <v>3.4000000000000002E-4</v>
      </c>
      <c r="M63" s="50">
        <v>3.8000000000000002E-4</v>
      </c>
      <c r="N63" s="50">
        <v>5.2999999999999998E-4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Tariff_Calculator</vt:lpstr>
      <vt:lpstr>Fees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2021-08-03T13:50:23Z</dcterms:created>
  <dcterms:modified xsi:type="dcterms:W3CDTF">2022-01-19T13:40:23Z</dcterms:modified>
</cp:coreProperties>
</file>